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10" windowWidth="9720" windowHeight="5340" activeTab="0"/>
  </bookViews>
  <sheets>
    <sheet name="T 7.15" sheetId="1" r:id="rId1"/>
  </sheets>
  <definedNames>
    <definedName name="_xlnm.Print_Area" localSheetId="0">'T 7.15'!$A$1:$K$316</definedName>
  </definedNames>
  <calcPr fullCalcOnLoad="1"/>
</workbook>
</file>

<file path=xl/sharedStrings.xml><?xml version="1.0" encoding="utf-8"?>
<sst xmlns="http://schemas.openxmlformats.org/spreadsheetml/2006/main" count="514" uniqueCount="124">
  <si>
    <t>-</t>
  </si>
  <si>
    <t>O/N</t>
  </si>
  <si>
    <t/>
  </si>
  <si>
    <t>Ortalama</t>
  </si>
  <si>
    <t xml:space="preserve">       Aylar</t>
  </si>
  <si>
    <t>1993  Ekim</t>
  </si>
  <si>
    <t xml:space="preserve">          Kasım</t>
  </si>
  <si>
    <t xml:space="preserve">          Şubat </t>
  </si>
  <si>
    <t xml:space="preserve">          Mart</t>
  </si>
  <si>
    <t xml:space="preserve">          Nisan  </t>
  </si>
  <si>
    <t xml:space="preserve">          Mayıs</t>
  </si>
  <si>
    <t xml:space="preserve">          Haziran</t>
  </si>
  <si>
    <t xml:space="preserve">          Temmuz</t>
  </si>
  <si>
    <t xml:space="preserve">          Ağustos</t>
  </si>
  <si>
    <t xml:space="preserve">          Eylül</t>
  </si>
  <si>
    <t xml:space="preserve">          Ekim</t>
  </si>
  <si>
    <t xml:space="preserve"> 1995 Ocak</t>
  </si>
  <si>
    <t xml:space="preserve"> Volume Of</t>
  </si>
  <si>
    <t>Gecelik</t>
  </si>
  <si>
    <t>Average</t>
  </si>
  <si>
    <t>Haftalık</t>
  </si>
  <si>
    <t xml:space="preserve">Weekly </t>
  </si>
  <si>
    <t>Toplam İşlem</t>
  </si>
  <si>
    <t xml:space="preserve"> Hacmi - Total</t>
  </si>
  <si>
    <t>Transactions</t>
  </si>
  <si>
    <t xml:space="preserve">Ortalama </t>
  </si>
  <si>
    <t xml:space="preserve">                     ..</t>
  </si>
  <si>
    <t xml:space="preserve">                 ..</t>
  </si>
  <si>
    <t xml:space="preserve">                    ..</t>
  </si>
  <si>
    <t xml:space="preserve">                      ..</t>
  </si>
  <si>
    <t>..</t>
  </si>
  <si>
    <t xml:space="preserve"> 1996 1</t>
  </si>
  <si>
    <t xml:space="preserve"> 1997 1</t>
  </si>
  <si>
    <t xml:space="preserve"> 1998 1</t>
  </si>
  <si>
    <t xml:space="preserve"> 1999 1</t>
  </si>
  <si>
    <t>1993 - 12</t>
  </si>
  <si>
    <t>1994 - 12</t>
  </si>
  <si>
    <t>1995 - 12</t>
  </si>
  <si>
    <t>1996 - 12</t>
  </si>
  <si>
    <t>1997 - 12</t>
  </si>
  <si>
    <t>1998 - 12</t>
  </si>
  <si>
    <t>1999 - 12</t>
  </si>
  <si>
    <t>2000 - 12</t>
  </si>
  <si>
    <t>2001 - 12</t>
  </si>
  <si>
    <t>2002 - 12</t>
  </si>
  <si>
    <t>2003 - 12</t>
  </si>
  <si>
    <t>2004 - 12</t>
  </si>
  <si>
    <t>2000 1</t>
  </si>
  <si>
    <t xml:space="preserve"> ..</t>
  </si>
  <si>
    <t>2001 1</t>
  </si>
  <si>
    <t>2002 1</t>
  </si>
  <si>
    <t>2003 1</t>
  </si>
  <si>
    <t>2004 1</t>
  </si>
  <si>
    <t>2005 1</t>
  </si>
  <si>
    <t>Exchange Rate</t>
  </si>
  <si>
    <t xml:space="preserve">Average Dollar </t>
  </si>
  <si>
    <t>2006 1</t>
  </si>
  <si>
    <t>Takasbank Borsa Para Piyasası</t>
  </si>
  <si>
    <t>Tablo: VII.15 - Para Piyasaları</t>
  </si>
  <si>
    <t>Table: VII.15 - Money Markets</t>
  </si>
  <si>
    <t>Takasbank Money Market</t>
  </si>
  <si>
    <t>Faiz Oranı</t>
  </si>
  <si>
    <t>O/N Int. Rate</t>
  </si>
  <si>
    <t>Int. Rates</t>
  </si>
  <si>
    <t xml:space="preserve">Ağırlıklı Ort. </t>
  </si>
  <si>
    <t xml:space="preserve">Weigh. Ave. </t>
  </si>
  <si>
    <t xml:space="preserve">Gecelik </t>
  </si>
  <si>
    <t>Borç Alma</t>
  </si>
  <si>
    <t>Borrowing</t>
  </si>
  <si>
    <t>Int. Rate</t>
  </si>
  <si>
    <t>Borç  Verme</t>
  </si>
  <si>
    <t>Lending</t>
  </si>
  <si>
    <t>Faiz oranı</t>
  </si>
  <si>
    <t>Borç Verme</t>
  </si>
  <si>
    <t>Geç Likid. Penc.</t>
  </si>
  <si>
    <t>Merkez Bankası Faiz Oranları</t>
  </si>
  <si>
    <t>Late Liq. Win.</t>
  </si>
  <si>
    <t>Günlük  Ort.</t>
  </si>
  <si>
    <t>İşlem Hacmi</t>
  </si>
  <si>
    <t xml:space="preserve"> Ave. Daily Volume  of</t>
  </si>
  <si>
    <t>Kaynak: Merkez Bankası, Takasbank</t>
  </si>
  <si>
    <t>19,8</t>
  </si>
  <si>
    <t>18,5</t>
  </si>
  <si>
    <t>17,8</t>
  </si>
  <si>
    <r>
      <t xml:space="preserve">Faizler </t>
    </r>
    <r>
      <rPr>
        <b/>
        <vertAlign val="superscript"/>
        <sz val="14"/>
        <rFont val="Arial"/>
        <family val="2"/>
      </rPr>
      <t xml:space="preserve"> </t>
    </r>
  </si>
  <si>
    <r>
      <t>Dolar Kuru</t>
    </r>
    <r>
      <rPr>
        <b/>
        <vertAlign val="superscript"/>
        <sz val="14"/>
        <rFont val="Arial"/>
        <family val="2"/>
      </rPr>
      <t>(1)</t>
    </r>
    <r>
      <rPr>
        <b/>
        <sz val="14"/>
        <rFont val="Arial"/>
        <family val="2"/>
      </rPr>
      <t xml:space="preserve"> </t>
    </r>
  </si>
  <si>
    <t>(1) Ortalama kura ilişkin veriler 2005 yılından itibaren Yeni Türk Lirası olarak yer almaktadır.</t>
  </si>
  <si>
    <t>2007 1</t>
  </si>
  <si>
    <t>2008 1</t>
  </si>
  <si>
    <t>Source: Central Bank, Takasbank</t>
  </si>
  <si>
    <t>2009 1</t>
  </si>
  <si>
    <t>(Bin TL)</t>
  </si>
  <si>
    <t xml:space="preserve"> 2005 - 12</t>
  </si>
  <si>
    <t>2006 - 12</t>
  </si>
  <si>
    <t>2010 1</t>
  </si>
  <si>
    <t>2011 1</t>
  </si>
  <si>
    <t>Trans.(Thous. Of TR)</t>
  </si>
  <si>
    <t>(1) The average exchange rate figures are given as New Turkish Lira (TR) as of 2005.</t>
  </si>
  <si>
    <t>2007 - 12</t>
  </si>
  <si>
    <t>2012 1</t>
  </si>
  <si>
    <t>2008 - 12</t>
  </si>
  <si>
    <t>2013 1</t>
  </si>
  <si>
    <t>5,52 </t>
  </si>
  <si>
    <t>5,29 </t>
  </si>
  <si>
    <t>5,72 </t>
  </si>
  <si>
    <t>5,54 </t>
  </si>
  <si>
    <t>4,87 </t>
  </si>
  <si>
    <t>Bankalararası Döviz Piyasası</t>
  </si>
  <si>
    <t>Interbank For.Ex. Market</t>
  </si>
  <si>
    <t>(Milyon Dolar - $ Millions)</t>
  </si>
  <si>
    <t>2014 1</t>
  </si>
  <si>
    <t>2015 1</t>
  </si>
  <si>
    <t>2009 - 12</t>
  </si>
  <si>
    <t>2016 1</t>
  </si>
  <si>
    <t>11,72 </t>
  </si>
  <si>
    <t>11,05 </t>
  </si>
  <si>
    <t>11,88 </t>
  </si>
  <si>
    <t xml:space="preserve"> 2017 1</t>
  </si>
  <si>
    <t>13,05 </t>
  </si>
  <si>
    <t>12,85 </t>
  </si>
  <si>
    <t>12,82 </t>
  </si>
  <si>
    <t>12,67 </t>
  </si>
  <si>
    <t>2010 - 12</t>
  </si>
  <si>
    <t>2018 1</t>
  </si>
</sst>
</file>

<file path=xl/styles.xml><?xml version="1.0" encoding="utf-8"?>
<styleSheet xmlns="http://schemas.openxmlformats.org/spreadsheetml/2006/main">
  <numFmts count="5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_);\(#,##0.0\)"/>
    <numFmt numFmtId="189" formatCode="0.00_)"/>
    <numFmt numFmtId="190" formatCode="0.0_)"/>
    <numFmt numFmtId="191" formatCode="0_)"/>
    <numFmt numFmtId="192" formatCode="#,##0.0_ ;\-#,##0.0\ "/>
    <numFmt numFmtId="193" formatCode="#,##0.00_ ;\-#,##0.00\ "/>
    <numFmt numFmtId="194" formatCode="0.0"/>
    <numFmt numFmtId="195" formatCode="#,##0.0"/>
    <numFmt numFmtId="196" formatCode="#,##0.00_);\(#,##0.00\)"/>
    <numFmt numFmtId="197" formatCode="#.00&quot;                  &quot;"/>
    <numFmt numFmtId="198" formatCode="#,##0.0000_);\(#,##0.0000\)"/>
    <numFmt numFmtId="199" formatCode="&quot;Evet&quot;;&quot;Evet&quot;;&quot;Hayır&quot;"/>
    <numFmt numFmtId="200" formatCode="&quot;Doğru&quot;;&quot;Doğru&quot;;&quot;Yanlış&quot;"/>
    <numFmt numFmtId="201" formatCode="&quot;Açık&quot;;&quot;Açık&quot;;&quot;Kapalı&quot;"/>
    <numFmt numFmtId="202" formatCode="[$¥€-2]\ #,##0.00_);[Red]\([$€-2]\ #,##0.00\)"/>
    <numFmt numFmtId="203" formatCode="#,##0_);\(#,##0\)"/>
    <numFmt numFmtId="204" formatCode="#,##0.000_);\(#,##0.000\)"/>
    <numFmt numFmtId="205" formatCode="_(* #,##0.00_);_(* \(#,##0.00\);_(* &quot;-&quot;??_);_(@_)"/>
    <numFmt numFmtId="206" formatCode="dd\-mm\-yy"/>
    <numFmt numFmtId="207" formatCode="0.000_)"/>
    <numFmt numFmtId="208" formatCode="0.0000_)"/>
    <numFmt numFmtId="209" formatCode="0.00000_)"/>
    <numFmt numFmtId="210" formatCode="_-* #,##0\ _₺_-;\-* #,##0\ _₺_-;_-* &quot;-&quot;??\ _₺_-;_-@_-"/>
    <numFmt numFmtId="211" formatCode="_-* #,##0.0\ _₺_-;\-* #,##0.0\ _₺_-;_-* &quot;-&quot;??\ _₺_-;_-@_-"/>
    <numFmt numFmtId="212" formatCode="_-* #,##0.0\ _T_L_-;\-* #,##0.0\ _T_L_-;_-* &quot;-&quot;??\ _T_L_-;_-@_-"/>
    <numFmt numFmtId="213" formatCode="_-* #,##0\ _T_L_-;\-* #,##0\ _T_L_-;_-* &quot;-&quot;??\ _T_L_-;_-@_-"/>
    <numFmt numFmtId="214" formatCode="[$-41F]dd\ mmmm\ yyyy\ dddd"/>
  </numFmts>
  <fonts count="56">
    <font>
      <sz val="11"/>
      <name val="DUTCH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Courier"/>
      <family val="3"/>
    </font>
    <font>
      <sz val="10"/>
      <name val="Times New Roman TUR"/>
      <family val="1"/>
    </font>
    <font>
      <b/>
      <vertAlign val="superscript"/>
      <sz val="14"/>
      <name val="Arial"/>
      <family val="2"/>
    </font>
    <font>
      <b/>
      <sz val="13.5"/>
      <name val="Arial"/>
      <family val="2"/>
    </font>
    <font>
      <sz val="9"/>
      <name val="Tahoma"/>
      <family val="2"/>
    </font>
    <font>
      <sz val="9"/>
      <color indexed="8"/>
      <name val="Verdan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4"/>
      <color indexed="8"/>
      <name val="Verdana"/>
      <family val="2"/>
    </font>
    <font>
      <sz val="8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Verdana"/>
      <family val="2"/>
    </font>
    <font>
      <sz val="10"/>
      <color rgb="FF444952"/>
      <name val="Arial Unicode MS"/>
      <family val="2"/>
    </font>
    <font>
      <sz val="14"/>
      <color rgb="FF000000"/>
      <name val="Verdana"/>
      <family val="2"/>
    </font>
    <font>
      <sz val="8"/>
      <color rgb="FF454D63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/>
      <bottom/>
    </border>
    <border>
      <left/>
      <right/>
      <top style="thin">
        <color theme="1"/>
      </top>
      <bottom/>
    </border>
    <border>
      <left style="thin">
        <color indexed="8"/>
      </left>
      <right/>
      <top style="thin">
        <color theme="1"/>
      </top>
      <bottom/>
    </border>
    <border>
      <left/>
      <right style="thin">
        <color indexed="8"/>
      </right>
      <top style="thin">
        <color theme="1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theme="1"/>
      </right>
      <top/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>
        <color theme="1"/>
      </left>
      <right/>
      <top style="thin">
        <color indexed="8"/>
      </top>
      <bottom/>
    </border>
    <border>
      <left/>
      <right style="thin">
        <color theme="1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143">
    <xf numFmtId="19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 applyBorder="0">
      <alignment/>
      <protection/>
    </xf>
    <xf numFmtId="0" fontId="35" fillId="0" borderId="0">
      <alignment/>
      <protection/>
    </xf>
    <xf numFmtId="0" fontId="2" fillId="0" borderId="0" applyBorder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1" fontId="11" fillId="0" borderId="0">
      <alignment/>
      <protection/>
    </xf>
    <xf numFmtId="191" fontId="1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8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58">
    <xf numFmtId="191" fontId="0" fillId="0" borderId="0" xfId="0" applyAlignment="1">
      <alignment/>
    </xf>
    <xf numFmtId="191" fontId="3" fillId="0" borderId="0" xfId="0" applyFont="1" applyAlignment="1" applyProtection="1">
      <alignment/>
      <protection/>
    </xf>
    <xf numFmtId="191" fontId="4" fillId="0" borderId="0" xfId="0" applyFont="1" applyAlignment="1" applyProtection="1">
      <alignment/>
      <protection/>
    </xf>
    <xf numFmtId="191" fontId="4" fillId="0" borderId="0" xfId="0" applyFont="1" applyAlignment="1">
      <alignment/>
    </xf>
    <xf numFmtId="191" fontId="5" fillId="0" borderId="0" xfId="0" applyFont="1" applyAlignment="1" applyProtection="1">
      <alignment/>
      <protection/>
    </xf>
    <xf numFmtId="191" fontId="6" fillId="0" borderId="0" xfId="0" applyFont="1" applyAlignment="1" applyProtection="1">
      <alignment/>
      <protection/>
    </xf>
    <xf numFmtId="191" fontId="5" fillId="0" borderId="10" xfId="0" applyFont="1" applyBorder="1" applyAlignment="1" applyProtection="1">
      <alignment/>
      <protection/>
    </xf>
    <xf numFmtId="191" fontId="5" fillId="0" borderId="11" xfId="0" applyFont="1" applyBorder="1" applyAlignment="1" applyProtection="1">
      <alignment/>
      <protection/>
    </xf>
    <xf numFmtId="191" fontId="6" fillId="0" borderId="0" xfId="0" applyFont="1" applyAlignment="1" applyProtection="1">
      <alignment horizontal="fill"/>
      <protection/>
    </xf>
    <xf numFmtId="188" fontId="6" fillId="0" borderId="12" xfId="0" applyNumberFormat="1" applyFont="1" applyBorder="1" applyAlignment="1" applyProtection="1">
      <alignment/>
      <protection/>
    </xf>
    <xf numFmtId="191" fontId="4" fillId="0" borderId="0" xfId="0" applyFont="1" applyBorder="1" applyAlignment="1" applyProtection="1">
      <alignment/>
      <protection/>
    </xf>
    <xf numFmtId="194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4" fillId="0" borderId="0" xfId="0" applyNumberFormat="1" applyFont="1" applyAlignment="1">
      <alignment/>
    </xf>
    <xf numFmtId="191" fontId="6" fillId="0" borderId="13" xfId="0" applyFont="1" applyBorder="1" applyAlignment="1" applyProtection="1">
      <alignment/>
      <protection/>
    </xf>
    <xf numFmtId="188" fontId="6" fillId="0" borderId="11" xfId="0" applyNumberFormat="1" applyFont="1" applyBorder="1" applyAlignment="1" applyProtection="1">
      <alignment/>
      <protection/>
    </xf>
    <xf numFmtId="188" fontId="6" fillId="0" borderId="11" xfId="0" applyNumberFormat="1" applyFont="1" applyBorder="1" applyAlignment="1" applyProtection="1">
      <alignment horizontal="right"/>
      <protection/>
    </xf>
    <xf numFmtId="4" fontId="6" fillId="0" borderId="13" xfId="0" applyNumberFormat="1" applyFont="1" applyBorder="1" applyAlignment="1" applyProtection="1">
      <alignment horizontal="right"/>
      <protection/>
    </xf>
    <xf numFmtId="188" fontId="6" fillId="0" borderId="14" xfId="0" applyNumberFormat="1" applyFont="1" applyBorder="1" applyAlignment="1" applyProtection="1">
      <alignment/>
      <protection/>
    </xf>
    <xf numFmtId="188" fontId="6" fillId="0" borderId="13" xfId="0" applyNumberFormat="1" applyFont="1" applyBorder="1" applyAlignment="1" applyProtection="1">
      <alignment horizontal="right"/>
      <protection/>
    </xf>
    <xf numFmtId="4" fontId="6" fillId="0" borderId="13" xfId="0" applyNumberFormat="1" applyFont="1" applyBorder="1" applyAlignment="1" applyProtection="1">
      <alignment/>
      <protection/>
    </xf>
    <xf numFmtId="188" fontId="6" fillId="0" borderId="0" xfId="0" applyNumberFormat="1" applyFont="1" applyBorder="1" applyAlignment="1" applyProtection="1">
      <alignment/>
      <protection/>
    </xf>
    <xf numFmtId="188" fontId="6" fillId="0" borderId="12" xfId="0" applyNumberFormat="1" applyFont="1" applyBorder="1" applyAlignment="1" applyProtection="1">
      <alignment horizontal="right"/>
      <protection/>
    </xf>
    <xf numFmtId="189" fontId="6" fillId="0" borderId="0" xfId="0" applyNumberFormat="1" applyFont="1" applyBorder="1" applyAlignment="1" applyProtection="1">
      <alignment/>
      <protection/>
    </xf>
    <xf numFmtId="188" fontId="6" fillId="0" borderId="15" xfId="0" applyNumberFormat="1" applyFont="1" applyBorder="1" applyAlignment="1" applyProtection="1">
      <alignment horizontal="right"/>
      <protection/>
    </xf>
    <xf numFmtId="2" fontId="6" fillId="0" borderId="13" xfId="0" applyNumberFormat="1" applyFont="1" applyBorder="1" applyAlignment="1" applyProtection="1">
      <alignment horizontal="right"/>
      <protection/>
    </xf>
    <xf numFmtId="191" fontId="8" fillId="0" borderId="16" xfId="0" applyFont="1" applyBorder="1" applyAlignment="1" applyProtection="1">
      <alignment/>
      <protection/>
    </xf>
    <xf numFmtId="191" fontId="8" fillId="0" borderId="14" xfId="0" applyFont="1" applyBorder="1" applyAlignment="1" applyProtection="1">
      <alignment/>
      <protection/>
    </xf>
    <xf numFmtId="191" fontId="9" fillId="0" borderId="12" xfId="0" applyFont="1" applyBorder="1" applyAlignment="1" applyProtection="1">
      <alignment/>
      <protection/>
    </xf>
    <xf numFmtId="191" fontId="8" fillId="0" borderId="17" xfId="0" applyFont="1" applyBorder="1" applyAlignment="1" applyProtection="1">
      <alignment horizontal="right"/>
      <protection/>
    </xf>
    <xf numFmtId="191" fontId="10" fillId="0" borderId="0" xfId="0" applyFont="1" applyAlignment="1" applyProtection="1">
      <alignment/>
      <protection/>
    </xf>
    <xf numFmtId="191" fontId="5" fillId="0" borderId="0" xfId="0" applyFont="1" applyBorder="1" applyAlignment="1" applyProtection="1">
      <alignment/>
      <protection/>
    </xf>
    <xf numFmtId="188" fontId="6" fillId="0" borderId="0" xfId="0" applyNumberFormat="1" applyFont="1" applyBorder="1" applyAlignment="1" applyProtection="1">
      <alignment horizontal="right"/>
      <protection/>
    </xf>
    <xf numFmtId="191" fontId="7" fillId="0" borderId="0" xfId="0" applyFont="1" applyBorder="1" applyAlignment="1" applyProtection="1">
      <alignment/>
      <protection/>
    </xf>
    <xf numFmtId="188" fontId="5" fillId="0" borderId="0" xfId="0" applyNumberFormat="1" applyFont="1" applyBorder="1" applyAlignment="1" applyProtection="1">
      <alignment/>
      <protection/>
    </xf>
    <xf numFmtId="191" fontId="6" fillId="0" borderId="0" xfId="0" applyFont="1" applyBorder="1" applyAlignment="1" applyProtection="1">
      <alignment/>
      <protection/>
    </xf>
    <xf numFmtId="191" fontId="4" fillId="0" borderId="0" xfId="0" applyFont="1" applyBorder="1" applyAlignment="1">
      <alignment/>
    </xf>
    <xf numFmtId="191" fontId="8" fillId="0" borderId="10" xfId="0" applyFont="1" applyBorder="1" applyAlignment="1" applyProtection="1">
      <alignment horizontal="right"/>
      <protection/>
    </xf>
    <xf numFmtId="191" fontId="8" fillId="0" borderId="11" xfId="0" applyFont="1" applyBorder="1" applyAlignment="1" applyProtection="1">
      <alignment horizontal="right"/>
      <protection/>
    </xf>
    <xf numFmtId="191" fontId="8" fillId="0" borderId="15" xfId="0" applyFont="1" applyBorder="1" applyAlignment="1" applyProtection="1">
      <alignment horizontal="right"/>
      <protection/>
    </xf>
    <xf numFmtId="191" fontId="8" fillId="0" borderId="13" xfId="0" applyFont="1" applyBorder="1" applyAlignment="1" applyProtection="1">
      <alignment horizontal="right"/>
      <protection/>
    </xf>
    <xf numFmtId="191" fontId="8" fillId="0" borderId="16" xfId="0" applyFont="1" applyBorder="1" applyAlignment="1" applyProtection="1">
      <alignment horizontal="right"/>
      <protection/>
    </xf>
    <xf numFmtId="191" fontId="8" fillId="0" borderId="12" xfId="0" applyFont="1" applyBorder="1" applyAlignment="1" applyProtection="1">
      <alignment horizontal="right"/>
      <protection/>
    </xf>
    <xf numFmtId="191" fontId="8" fillId="0" borderId="10" xfId="0" applyFont="1" applyBorder="1" applyAlignment="1">
      <alignment horizontal="right"/>
    </xf>
    <xf numFmtId="188" fontId="6" fillId="0" borderId="16" xfId="0" applyNumberFormat="1" applyFont="1" applyBorder="1" applyAlignment="1" applyProtection="1">
      <alignment/>
      <protection/>
    </xf>
    <xf numFmtId="191" fontId="5" fillId="0" borderId="11" xfId="0" applyFont="1" applyBorder="1" applyAlignment="1" applyProtection="1" quotePrefix="1">
      <alignment horizontal="right"/>
      <protection/>
    </xf>
    <xf numFmtId="189" fontId="12" fillId="0" borderId="18" xfId="125" applyNumberFormat="1" applyFont="1" applyBorder="1" applyAlignment="1" applyProtection="1">
      <alignment/>
      <protection locked="0"/>
    </xf>
    <xf numFmtId="197" fontId="12" fillId="0" borderId="18" xfId="124" applyNumberFormat="1" applyFont="1" applyFill="1" applyBorder="1" applyAlignment="1" applyProtection="1">
      <alignment/>
      <protection/>
    </xf>
    <xf numFmtId="188" fontId="6" fillId="0" borderId="0" xfId="0" applyNumberFormat="1" applyFont="1" applyFill="1" applyBorder="1" applyAlignment="1" applyProtection="1">
      <alignment/>
      <protection/>
    </xf>
    <xf numFmtId="191" fontId="3" fillId="0" borderId="0" xfId="0" applyFont="1" applyFill="1" applyAlignment="1" applyProtection="1">
      <alignment/>
      <protection/>
    </xf>
    <xf numFmtId="191" fontId="6" fillId="0" borderId="0" xfId="0" applyFont="1" applyFill="1" applyAlignment="1" applyProtection="1">
      <alignment/>
      <protection/>
    </xf>
    <xf numFmtId="191" fontId="8" fillId="0" borderId="15" xfId="0" applyFont="1" applyFill="1" applyBorder="1" applyAlignment="1" applyProtection="1">
      <alignment horizontal="right"/>
      <protection/>
    </xf>
    <xf numFmtId="191" fontId="8" fillId="0" borderId="13" xfId="0" applyFont="1" applyFill="1" applyBorder="1" applyAlignment="1" applyProtection="1">
      <alignment horizontal="right"/>
      <protection/>
    </xf>
    <xf numFmtId="191" fontId="8" fillId="0" borderId="17" xfId="0" applyFont="1" applyFill="1" applyBorder="1" applyAlignment="1" applyProtection="1">
      <alignment horizontal="right"/>
      <protection/>
    </xf>
    <xf numFmtId="191" fontId="6" fillId="0" borderId="13" xfId="0" applyFont="1" applyFill="1" applyBorder="1" applyAlignment="1" applyProtection="1">
      <alignment/>
      <protection/>
    </xf>
    <xf numFmtId="188" fontId="6" fillId="0" borderId="13" xfId="0" applyNumberFormat="1" applyFont="1" applyFill="1" applyBorder="1" applyAlignment="1" applyProtection="1">
      <alignment/>
      <protection/>
    </xf>
    <xf numFmtId="188" fontId="6" fillId="0" borderId="17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/>
      <protection/>
    </xf>
    <xf numFmtId="195" fontId="6" fillId="0" borderId="18" xfId="0" applyNumberFormat="1" applyFont="1" applyFill="1" applyBorder="1" applyAlignment="1">
      <alignment horizontal="right"/>
    </xf>
    <xf numFmtId="191" fontId="5" fillId="0" borderId="0" xfId="0" applyFont="1" applyFill="1" applyAlignment="1" applyProtection="1">
      <alignment/>
      <protection/>
    </xf>
    <xf numFmtId="191" fontId="4" fillId="0" borderId="0" xfId="0" applyFont="1" applyFill="1" applyAlignment="1">
      <alignment/>
    </xf>
    <xf numFmtId="191" fontId="7" fillId="0" borderId="0" xfId="0" applyFont="1" applyAlignment="1">
      <alignment/>
    </xf>
    <xf numFmtId="198" fontId="6" fillId="0" borderId="13" xfId="0" applyNumberFormat="1" applyFont="1" applyFill="1" applyBorder="1" applyAlignment="1" applyProtection="1">
      <alignment/>
      <protection/>
    </xf>
    <xf numFmtId="191" fontId="14" fillId="0" borderId="11" xfId="0" applyFont="1" applyBorder="1" applyAlignment="1" applyProtection="1">
      <alignment horizontal="right"/>
      <protection/>
    </xf>
    <xf numFmtId="191" fontId="14" fillId="0" borderId="11" xfId="0" applyFont="1" applyBorder="1" applyAlignment="1">
      <alignment horizontal="right"/>
    </xf>
    <xf numFmtId="191" fontId="14" fillId="0" borderId="14" xfId="0" applyFont="1" applyBorder="1" applyAlignment="1">
      <alignment horizontal="right"/>
    </xf>
    <xf numFmtId="188" fontId="6" fillId="0" borderId="15" xfId="0" applyNumberFormat="1" applyFont="1" applyFill="1" applyBorder="1" applyAlignment="1" applyProtection="1">
      <alignment/>
      <protection/>
    </xf>
    <xf numFmtId="198" fontId="6" fillId="0" borderId="17" xfId="0" applyNumberFormat="1" applyFont="1" applyFill="1" applyBorder="1" applyAlignment="1" applyProtection="1">
      <alignment/>
      <protection/>
    </xf>
    <xf numFmtId="2" fontId="15" fillId="0" borderId="13" xfId="0" applyNumberFormat="1" applyFont="1" applyBorder="1" applyAlignment="1">
      <alignment horizontal="center" wrapText="1"/>
    </xf>
    <xf numFmtId="191" fontId="5" fillId="0" borderId="0" xfId="0" applyFont="1" applyBorder="1" applyAlignment="1" applyProtection="1" quotePrefix="1">
      <alignment horizontal="right"/>
      <protection/>
    </xf>
    <xf numFmtId="189" fontId="12" fillId="0" borderId="0" xfId="125" applyNumberFormat="1" applyFont="1" applyBorder="1" applyAlignment="1" applyProtection="1">
      <alignment/>
      <protection locked="0"/>
    </xf>
    <xf numFmtId="191" fontId="8" fillId="0" borderId="14" xfId="0" applyFont="1" applyBorder="1" applyAlignment="1" applyProtection="1">
      <alignment horizontal="right"/>
      <protection/>
    </xf>
    <xf numFmtId="191" fontId="8" fillId="0" borderId="0" xfId="0" applyFont="1" applyBorder="1" applyAlignment="1" applyProtection="1">
      <alignment horizontal="right"/>
      <protection/>
    </xf>
    <xf numFmtId="188" fontId="6" fillId="0" borderId="16" xfId="0" applyNumberFormat="1" applyFont="1" applyBorder="1" applyAlignment="1" applyProtection="1">
      <alignment horizontal="right"/>
      <protection/>
    </xf>
    <xf numFmtId="191" fontId="5" fillId="0" borderId="13" xfId="0" applyFont="1" applyBorder="1" applyAlignment="1" applyProtection="1">
      <alignment/>
      <protection/>
    </xf>
    <xf numFmtId="191" fontId="5" fillId="0" borderId="13" xfId="0" applyFont="1" applyBorder="1" applyAlignment="1" applyProtection="1" quotePrefix="1">
      <alignment horizontal="right"/>
      <protection/>
    </xf>
    <xf numFmtId="196" fontId="6" fillId="0" borderId="11" xfId="0" applyNumberFormat="1" applyFont="1" applyBorder="1" applyAlignment="1" applyProtection="1">
      <alignment horizontal="right"/>
      <protection/>
    </xf>
    <xf numFmtId="191" fontId="6" fillId="0" borderId="0" xfId="0" applyFont="1" applyBorder="1" applyAlignment="1" applyProtection="1">
      <alignment horizontal="right"/>
      <protection/>
    </xf>
    <xf numFmtId="191" fontId="6" fillId="0" borderId="13" xfId="0" applyFont="1" applyBorder="1" applyAlignment="1" applyProtection="1">
      <alignment horizontal="right"/>
      <protection/>
    </xf>
    <xf numFmtId="196" fontId="6" fillId="0" borderId="0" xfId="0" applyNumberFormat="1" applyFont="1" applyBorder="1" applyAlignment="1" applyProtection="1">
      <alignment horizontal="right"/>
      <protection/>
    </xf>
    <xf numFmtId="196" fontId="6" fillId="0" borderId="12" xfId="0" applyNumberFormat="1" applyFont="1" applyBorder="1" applyAlignment="1" applyProtection="1">
      <alignment horizontal="right"/>
      <protection/>
    </xf>
    <xf numFmtId="196" fontId="6" fillId="0" borderId="13" xfId="0" applyNumberFormat="1" applyFont="1" applyBorder="1" applyAlignment="1" applyProtection="1">
      <alignment horizontal="right"/>
      <protection/>
    </xf>
    <xf numFmtId="196" fontId="6" fillId="0" borderId="16" xfId="0" applyNumberFormat="1" applyFont="1" applyBorder="1" applyAlignment="1" applyProtection="1">
      <alignment horizontal="right"/>
      <protection/>
    </xf>
    <xf numFmtId="198" fontId="6" fillId="0" borderId="15" xfId="0" applyNumberFormat="1" applyFont="1" applyFill="1" applyBorder="1" applyAlignment="1" applyProtection="1">
      <alignment/>
      <protection/>
    </xf>
    <xf numFmtId="191" fontId="5" fillId="0" borderId="11" xfId="0" applyFont="1" applyBorder="1" applyAlignment="1" applyProtection="1">
      <alignment horizontal="right"/>
      <protection/>
    </xf>
    <xf numFmtId="188" fontId="6" fillId="0" borderId="14" xfId="0" applyNumberFormat="1" applyFont="1" applyBorder="1" applyAlignment="1" applyProtection="1">
      <alignment horizontal="right"/>
      <protection/>
    </xf>
    <xf numFmtId="188" fontId="6" fillId="0" borderId="10" xfId="0" applyNumberFormat="1" applyFont="1" applyBorder="1" applyAlignment="1" applyProtection="1">
      <alignment horizontal="right"/>
      <protection/>
    </xf>
    <xf numFmtId="49" fontId="6" fillId="0" borderId="16" xfId="0" applyNumberFormat="1" applyFont="1" applyBorder="1" applyAlignment="1" applyProtection="1">
      <alignment horizontal="right"/>
      <protection/>
    </xf>
    <xf numFmtId="188" fontId="6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horizontal="right"/>
      <protection/>
    </xf>
    <xf numFmtId="191" fontId="9" fillId="0" borderId="0" xfId="0" applyFont="1" applyBorder="1" applyAlignment="1" applyProtection="1">
      <alignment/>
      <protection/>
    </xf>
    <xf numFmtId="0" fontId="9" fillId="0" borderId="0" xfId="126" applyFont="1">
      <alignment/>
      <protection/>
    </xf>
    <xf numFmtId="191" fontId="9" fillId="0" borderId="0" xfId="0" applyFont="1" applyAlignment="1">
      <alignment/>
    </xf>
    <xf numFmtId="191" fontId="16" fillId="0" borderId="0" xfId="0" applyFont="1" applyAlignment="1">
      <alignment/>
    </xf>
    <xf numFmtId="191" fontId="52" fillId="0" borderId="0" xfId="0" applyFont="1" applyAlignment="1">
      <alignment/>
    </xf>
    <xf numFmtId="191" fontId="53" fillId="0" borderId="0" xfId="0" applyFont="1" applyAlignment="1">
      <alignment vertical="center"/>
    </xf>
    <xf numFmtId="196" fontId="6" fillId="0" borderId="19" xfId="0" applyNumberFormat="1" applyFont="1" applyBorder="1" applyAlignment="1" applyProtection="1">
      <alignment horizontal="right"/>
      <protection/>
    </xf>
    <xf numFmtId="188" fontId="6" fillId="0" borderId="19" xfId="0" applyNumberFormat="1" applyFont="1" applyBorder="1" applyAlignment="1" applyProtection="1">
      <alignment/>
      <protection/>
    </xf>
    <xf numFmtId="49" fontId="6" fillId="0" borderId="19" xfId="0" applyNumberFormat="1" applyFont="1" applyBorder="1" applyAlignment="1" applyProtection="1">
      <alignment horizontal="right"/>
      <protection/>
    </xf>
    <xf numFmtId="190" fontId="6" fillId="0" borderId="0" xfId="0" applyNumberFormat="1" applyFont="1" applyBorder="1" applyAlignment="1" applyProtection="1">
      <alignment/>
      <protection/>
    </xf>
    <xf numFmtId="191" fontId="6" fillId="0" borderId="0" xfId="0" applyFont="1" applyAlignment="1">
      <alignment/>
    </xf>
    <xf numFmtId="191" fontId="6" fillId="0" borderId="0" xfId="0" applyFont="1" applyAlignment="1">
      <alignment horizontal="right"/>
    </xf>
    <xf numFmtId="191" fontId="8" fillId="0" borderId="0" xfId="0" applyFont="1" applyBorder="1" applyAlignment="1" applyProtection="1">
      <alignment/>
      <protection/>
    </xf>
    <xf numFmtId="191" fontId="5" fillId="0" borderId="20" xfId="0" applyFont="1" applyBorder="1" applyAlignment="1" applyProtection="1">
      <alignment horizontal="right"/>
      <protection/>
    </xf>
    <xf numFmtId="188" fontId="6" fillId="0" borderId="21" xfId="0" applyNumberFormat="1" applyFont="1" applyBorder="1" applyAlignment="1" applyProtection="1">
      <alignment horizontal="right"/>
      <protection/>
    </xf>
    <xf numFmtId="191" fontId="5" fillId="0" borderId="14" xfId="0" applyFont="1" applyBorder="1" applyAlignment="1" applyProtection="1">
      <alignment horizontal="right"/>
      <protection/>
    </xf>
    <xf numFmtId="191" fontId="5" fillId="0" borderId="10" xfId="0" applyFont="1" applyBorder="1" applyAlignment="1" applyProtection="1" quotePrefix="1">
      <alignment horizontal="right"/>
      <protection/>
    </xf>
    <xf numFmtId="49" fontId="5" fillId="0" borderId="11" xfId="0" applyNumberFormat="1" applyFont="1" applyBorder="1" applyAlignment="1" applyProtection="1">
      <alignment horizontal="right"/>
      <protection/>
    </xf>
    <xf numFmtId="191" fontId="6" fillId="0" borderId="11" xfId="0" applyFont="1" applyBorder="1" applyAlignment="1" applyProtection="1">
      <alignment horizontal="right"/>
      <protection/>
    </xf>
    <xf numFmtId="196" fontId="6" fillId="0" borderId="14" xfId="0" applyNumberFormat="1" applyFont="1" applyBorder="1" applyAlignment="1" applyProtection="1">
      <alignment horizontal="right"/>
      <protection/>
    </xf>
    <xf numFmtId="196" fontId="6" fillId="0" borderId="17" xfId="0" applyNumberFormat="1" applyFont="1" applyBorder="1" applyAlignment="1" applyProtection="1">
      <alignment horizontal="right"/>
      <protection/>
    </xf>
    <xf numFmtId="196" fontId="6" fillId="0" borderId="10" xfId="0" applyNumberFormat="1" applyFont="1" applyBorder="1" applyAlignment="1" applyProtection="1">
      <alignment horizontal="right"/>
      <protection/>
    </xf>
    <xf numFmtId="196" fontId="6" fillId="0" borderId="15" xfId="0" applyNumberFormat="1" applyFont="1" applyBorder="1" applyAlignment="1" applyProtection="1">
      <alignment horizontal="right"/>
      <protection/>
    </xf>
    <xf numFmtId="196" fontId="6" fillId="0" borderId="20" xfId="0" applyNumberFormat="1" applyFont="1" applyBorder="1" applyAlignment="1" applyProtection="1">
      <alignment horizontal="right"/>
      <protection/>
    </xf>
    <xf numFmtId="196" fontId="6" fillId="0" borderId="21" xfId="0" applyNumberFormat="1" applyFont="1" applyBorder="1" applyAlignment="1" applyProtection="1">
      <alignment horizontal="right"/>
      <protection/>
    </xf>
    <xf numFmtId="188" fontId="6" fillId="0" borderId="20" xfId="0" applyNumberFormat="1" applyFont="1" applyBorder="1" applyAlignment="1" applyProtection="1">
      <alignment horizontal="right"/>
      <protection/>
    </xf>
    <xf numFmtId="193" fontId="6" fillId="0" borderId="0" xfId="129" applyNumberFormat="1" applyFont="1" applyBorder="1" applyAlignment="1" applyProtection="1">
      <alignment horizontal="right"/>
      <protection/>
    </xf>
    <xf numFmtId="191" fontId="6" fillId="0" borderId="11" xfId="0" applyFont="1" applyBorder="1" applyAlignment="1" applyProtection="1">
      <alignment horizontal="right"/>
      <protection/>
    </xf>
    <xf numFmtId="188" fontId="6" fillId="0" borderId="11" xfId="0" applyNumberFormat="1" applyFont="1" applyFill="1" applyBorder="1" applyAlignment="1" applyProtection="1">
      <alignment/>
      <protection/>
    </xf>
    <xf numFmtId="188" fontId="6" fillId="0" borderId="20" xfId="0" applyNumberFormat="1" applyFont="1" applyBorder="1" applyAlignment="1" applyProtection="1">
      <alignment/>
      <protection/>
    </xf>
    <xf numFmtId="198" fontId="6" fillId="0" borderId="21" xfId="0" applyNumberFormat="1" applyFont="1" applyFill="1" applyBorder="1" applyAlignment="1" applyProtection="1">
      <alignment/>
      <protection/>
    </xf>
    <xf numFmtId="191" fontId="4" fillId="0" borderId="11" xfId="0" applyFont="1" applyBorder="1" applyAlignment="1">
      <alignment/>
    </xf>
    <xf numFmtId="208" fontId="5" fillId="0" borderId="0" xfId="0" applyNumberFormat="1" applyFont="1" applyAlignment="1" applyProtection="1">
      <alignment/>
      <protection/>
    </xf>
    <xf numFmtId="208" fontId="3" fillId="0" borderId="0" xfId="0" applyNumberFormat="1" applyFont="1" applyAlignment="1" applyProtection="1">
      <alignment/>
      <protection/>
    </xf>
    <xf numFmtId="208" fontId="4" fillId="0" borderId="0" xfId="0" applyNumberFormat="1" applyFont="1" applyAlignment="1">
      <alignment/>
    </xf>
    <xf numFmtId="191" fontId="54" fillId="0" borderId="0" xfId="0" applyFont="1" applyAlignment="1">
      <alignment/>
    </xf>
    <xf numFmtId="191" fontId="5" fillId="0" borderId="22" xfId="0" applyFont="1" applyBorder="1" applyAlignment="1" applyProtection="1">
      <alignment horizontal="right"/>
      <protection/>
    </xf>
    <xf numFmtId="191" fontId="5" fillId="0" borderId="23" xfId="0" applyFont="1" applyBorder="1" applyAlignment="1" applyProtection="1">
      <alignment horizontal="right"/>
      <protection/>
    </xf>
    <xf numFmtId="191" fontId="5" fillId="0" borderId="24" xfId="0" applyFont="1" applyBorder="1" applyAlignment="1" applyProtection="1">
      <alignment horizontal="right"/>
      <protection/>
    </xf>
    <xf numFmtId="191" fontId="4" fillId="0" borderId="12" xfId="0" applyFont="1" applyBorder="1" applyAlignment="1">
      <alignment/>
    </xf>
    <xf numFmtId="188" fontId="6" fillId="0" borderId="25" xfId="0" applyNumberFormat="1" applyFont="1" applyBorder="1" applyAlignment="1" applyProtection="1">
      <alignment/>
      <protection/>
    </xf>
    <xf numFmtId="198" fontId="6" fillId="0" borderId="26" xfId="0" applyNumberFormat="1" applyFont="1" applyFill="1" applyBorder="1" applyAlignment="1" applyProtection="1">
      <alignment/>
      <protection/>
    </xf>
    <xf numFmtId="188" fontId="6" fillId="0" borderId="25" xfId="0" applyNumberFormat="1" applyFont="1" applyBorder="1" applyAlignment="1" applyProtection="1">
      <alignment horizontal="right"/>
      <protection/>
    </xf>
    <xf numFmtId="188" fontId="6" fillId="0" borderId="27" xfId="0" applyNumberFormat="1" applyFont="1" applyBorder="1" applyAlignment="1" applyProtection="1">
      <alignment/>
      <protection/>
    </xf>
    <xf numFmtId="198" fontId="6" fillId="0" borderId="28" xfId="0" applyNumberFormat="1" applyFont="1" applyFill="1" applyBorder="1" applyAlignment="1" applyProtection="1">
      <alignment/>
      <protection/>
    </xf>
    <xf numFmtId="191" fontId="4" fillId="0" borderId="16" xfId="0" applyFont="1" applyBorder="1" applyAlignment="1">
      <alignment/>
    </xf>
    <xf numFmtId="198" fontId="6" fillId="0" borderId="12" xfId="0" applyNumberFormat="1" applyFont="1" applyFill="1" applyBorder="1" applyAlignment="1" applyProtection="1">
      <alignment/>
      <protection/>
    </xf>
    <xf numFmtId="198" fontId="6" fillId="0" borderId="16" xfId="0" applyNumberFormat="1" applyFont="1" applyFill="1" applyBorder="1" applyAlignment="1" applyProtection="1">
      <alignment/>
      <protection/>
    </xf>
    <xf numFmtId="198" fontId="6" fillId="0" borderId="0" xfId="0" applyNumberFormat="1" applyFont="1" applyFill="1" applyBorder="1" applyAlignment="1" applyProtection="1">
      <alignment/>
      <protection/>
    </xf>
    <xf numFmtId="188" fontId="6" fillId="0" borderId="10" xfId="0" applyNumberFormat="1" applyFont="1" applyFill="1" applyBorder="1" applyAlignment="1" applyProtection="1">
      <alignment/>
      <protection/>
    </xf>
    <xf numFmtId="188" fontId="6" fillId="0" borderId="14" xfId="0" applyNumberFormat="1" applyFont="1" applyFill="1" applyBorder="1" applyAlignment="1" applyProtection="1">
      <alignment/>
      <protection/>
    </xf>
    <xf numFmtId="191" fontId="55" fillId="0" borderId="0" xfId="0" applyFont="1" applyAlignment="1">
      <alignment/>
    </xf>
    <xf numFmtId="188" fontId="6" fillId="0" borderId="12" xfId="0" applyNumberFormat="1" applyFont="1" applyFill="1" applyBorder="1" applyAlignment="1" applyProtection="1">
      <alignment/>
      <protection/>
    </xf>
    <xf numFmtId="191" fontId="8" fillId="0" borderId="10" xfId="0" applyFont="1" applyBorder="1" applyAlignment="1" applyProtection="1">
      <alignment horizontal="center"/>
      <protection/>
    </xf>
    <xf numFmtId="191" fontId="8" fillId="0" borderId="15" xfId="0" applyFont="1" applyBorder="1" applyAlignment="1" applyProtection="1">
      <alignment horizontal="center"/>
      <protection/>
    </xf>
    <xf numFmtId="191" fontId="8" fillId="0" borderId="14" xfId="0" applyFont="1" applyBorder="1" applyAlignment="1">
      <alignment horizontal="center"/>
    </xf>
    <xf numFmtId="191" fontId="8" fillId="0" borderId="17" xfId="0" applyFont="1" applyBorder="1" applyAlignment="1">
      <alignment horizontal="center"/>
    </xf>
    <xf numFmtId="191" fontId="8" fillId="0" borderId="29" xfId="0" applyFont="1" applyBorder="1" applyAlignment="1" applyProtection="1">
      <alignment horizontal="center"/>
      <protection/>
    </xf>
    <xf numFmtId="191" fontId="8" fillId="0" borderId="30" xfId="0" applyFont="1" applyBorder="1" applyAlignment="1" applyProtection="1">
      <alignment horizontal="center"/>
      <protection/>
    </xf>
    <xf numFmtId="191" fontId="8" fillId="0" borderId="31" xfId="0" applyFont="1" applyBorder="1" applyAlignment="1" applyProtection="1">
      <alignment horizontal="center"/>
      <protection/>
    </xf>
    <xf numFmtId="191" fontId="8" fillId="0" borderId="16" xfId="0" applyFont="1" applyBorder="1" applyAlignment="1" applyProtection="1">
      <alignment horizontal="center"/>
      <protection/>
    </xf>
    <xf numFmtId="191" fontId="8" fillId="0" borderId="11" xfId="0" applyFont="1" applyBorder="1" applyAlignment="1" applyProtection="1">
      <alignment horizontal="center"/>
      <protection/>
    </xf>
    <xf numFmtId="191" fontId="8" fillId="0" borderId="0" xfId="0" applyFont="1" applyBorder="1" applyAlignment="1" applyProtection="1">
      <alignment horizontal="center"/>
      <protection/>
    </xf>
    <xf numFmtId="191" fontId="8" fillId="0" borderId="13" xfId="0" applyFont="1" applyBorder="1" applyAlignment="1" applyProtection="1">
      <alignment horizontal="center"/>
      <protection/>
    </xf>
    <xf numFmtId="191" fontId="8" fillId="0" borderId="14" xfId="0" applyFont="1" applyBorder="1" applyAlignment="1" applyProtection="1">
      <alignment horizontal="center"/>
      <protection/>
    </xf>
    <xf numFmtId="191" fontId="8" fillId="0" borderId="12" xfId="0" applyFont="1" applyBorder="1" applyAlignment="1" applyProtection="1">
      <alignment horizontal="center"/>
      <protection/>
    </xf>
    <xf numFmtId="191" fontId="8" fillId="0" borderId="17" xfId="0" applyFont="1" applyBorder="1" applyAlignment="1" applyProtection="1">
      <alignment horizontal="center"/>
      <protection/>
    </xf>
  </cellXfs>
  <cellStyles count="12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" xfId="41"/>
    <cellStyle name="Comma 2 2" xfId="42"/>
    <cellStyle name="Comma 3" xfId="43"/>
    <cellStyle name="Comma 4" xfId="44"/>
    <cellStyle name="Çıkış" xfId="45"/>
    <cellStyle name="Giriş" xfId="46"/>
    <cellStyle name="Hesaplama" xfId="47"/>
    <cellStyle name="İşaretli Hücre" xfId="48"/>
    <cellStyle name="İyi" xfId="49"/>
    <cellStyle name="Kötü" xfId="50"/>
    <cellStyle name="Normal 10" xfId="51"/>
    <cellStyle name="Normal 10 2" xfId="52"/>
    <cellStyle name="Normal 11" xfId="53"/>
    <cellStyle name="Normal 11 2" xfId="54"/>
    <cellStyle name="Normal 12" xfId="55"/>
    <cellStyle name="Normal 12 2" xfId="56"/>
    <cellStyle name="Normal 13" xfId="57"/>
    <cellStyle name="Normal 13 2" xfId="58"/>
    <cellStyle name="Normal 14" xfId="59"/>
    <cellStyle name="Normal 14 2" xfId="60"/>
    <cellStyle name="Normal 15" xfId="61"/>
    <cellStyle name="Normal 15 2" xfId="62"/>
    <cellStyle name="Normal 16" xfId="63"/>
    <cellStyle name="Normal 16 2" xfId="64"/>
    <cellStyle name="Normal 17" xfId="65"/>
    <cellStyle name="Normal 17 2" xfId="66"/>
    <cellStyle name="Normal 18" xfId="67"/>
    <cellStyle name="Normal 18 2" xfId="68"/>
    <cellStyle name="Normal 19" xfId="69"/>
    <cellStyle name="Normal 19 2" xfId="70"/>
    <cellStyle name="Normal 2" xfId="71"/>
    <cellStyle name="Normal 2 2" xfId="72"/>
    <cellStyle name="Normal 2 3" xfId="73"/>
    <cellStyle name="Normal 20" xfId="74"/>
    <cellStyle name="Normal 20 2" xfId="75"/>
    <cellStyle name="Normal 21" xfId="76"/>
    <cellStyle name="Normal 21 2" xfId="77"/>
    <cellStyle name="Normal 22" xfId="78"/>
    <cellStyle name="Normal 22 2" xfId="79"/>
    <cellStyle name="Normal 23" xfId="80"/>
    <cellStyle name="Normal 24" xfId="81"/>
    <cellStyle name="Normal 25" xfId="82"/>
    <cellStyle name="Normal 26" xfId="83"/>
    <cellStyle name="Normal 27" xfId="84"/>
    <cellStyle name="Normal 28" xfId="85"/>
    <cellStyle name="Normal 29" xfId="86"/>
    <cellStyle name="Normal 3" xfId="87"/>
    <cellStyle name="Normal 3 2" xfId="88"/>
    <cellStyle name="Normal 30" xfId="89"/>
    <cellStyle name="Normal 31" xfId="90"/>
    <cellStyle name="Normal 32" xfId="91"/>
    <cellStyle name="Normal 33" xfId="92"/>
    <cellStyle name="Normal 34" xfId="93"/>
    <cellStyle name="Normal 35" xfId="94"/>
    <cellStyle name="Normal 36" xfId="95"/>
    <cellStyle name="Normal 37" xfId="96"/>
    <cellStyle name="Normal 38" xfId="97"/>
    <cellStyle name="Normal 39" xfId="98"/>
    <cellStyle name="Normal 4" xfId="99"/>
    <cellStyle name="Normal 4 2" xfId="100"/>
    <cellStyle name="Normal 40" xfId="101"/>
    <cellStyle name="Normal 41" xfId="102"/>
    <cellStyle name="Normal 42" xfId="103"/>
    <cellStyle name="Normal 43" xfId="104"/>
    <cellStyle name="Normal 44" xfId="105"/>
    <cellStyle name="Normal 45" xfId="106"/>
    <cellStyle name="Normal 45 2" xfId="107"/>
    <cellStyle name="Normal 46" xfId="108"/>
    <cellStyle name="Normal 47" xfId="109"/>
    <cellStyle name="Normal 48" xfId="110"/>
    <cellStyle name="Normal 49" xfId="111"/>
    <cellStyle name="Normal 49 2" xfId="112"/>
    <cellStyle name="Normal 5" xfId="113"/>
    <cellStyle name="Normal 5 2" xfId="114"/>
    <cellStyle name="Normal 50" xfId="115"/>
    <cellStyle name="Normal 6" xfId="116"/>
    <cellStyle name="Normal 6 2" xfId="117"/>
    <cellStyle name="Normal 7" xfId="118"/>
    <cellStyle name="Normal 7 2" xfId="119"/>
    <cellStyle name="Normal 8" xfId="120"/>
    <cellStyle name="Normal 8 2" xfId="121"/>
    <cellStyle name="Normal 9" xfId="122"/>
    <cellStyle name="Normal 9 2" xfId="123"/>
    <cellStyle name="Normal_DOVPIY2" xfId="124"/>
    <cellStyle name="Normal_INT2" xfId="125"/>
    <cellStyle name="Normal_main15" xfId="126"/>
    <cellStyle name="Not" xfId="127"/>
    <cellStyle name="Nötr" xfId="128"/>
    <cellStyle name="Currency" xfId="129"/>
    <cellStyle name="Currency [0]" xfId="130"/>
    <cellStyle name="Toplam" xfId="131"/>
    <cellStyle name="Uyarı Metni" xfId="132"/>
    <cellStyle name="Comma" xfId="133"/>
    <cellStyle name="Virgül 2" xfId="134"/>
    <cellStyle name="Vurgu1" xfId="135"/>
    <cellStyle name="Vurgu2" xfId="136"/>
    <cellStyle name="Vurgu3" xfId="137"/>
    <cellStyle name="Vurgu4" xfId="138"/>
    <cellStyle name="Vurgu5" xfId="139"/>
    <cellStyle name="Vurgu6" xfId="140"/>
    <cellStyle name="Percent" xfId="141"/>
    <cellStyle name="Yüzde 2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182</xdr:row>
      <xdr:rowOff>0</xdr:rowOff>
    </xdr:from>
    <xdr:ext cx="123825" cy="219075"/>
    <xdr:sp fLocksText="0">
      <xdr:nvSpPr>
        <xdr:cNvPr id="1" name="Text Box 4"/>
        <xdr:cNvSpPr txBox="1">
          <a:spLocks noChangeArrowheads="1"/>
        </xdr:cNvSpPr>
      </xdr:nvSpPr>
      <xdr:spPr>
        <a:xfrm>
          <a:off x="7772400" y="40576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UTCH"/>
              <a:ea typeface="DUTCH"/>
              <a:cs typeface="DUTCH"/>
            </a:rPr>
            <a:t/>
          </a:r>
        </a:p>
      </xdr:txBody>
    </xdr:sp>
    <xdr:clientData/>
  </xdr:oneCellAnchor>
  <xdr:oneCellAnchor>
    <xdr:from>
      <xdr:col>5</xdr:col>
      <xdr:colOff>0</xdr:colOff>
      <xdr:row>182</xdr:row>
      <xdr:rowOff>0</xdr:rowOff>
    </xdr:from>
    <xdr:ext cx="123825" cy="219075"/>
    <xdr:sp fLocksText="0">
      <xdr:nvSpPr>
        <xdr:cNvPr id="2" name="Text Box 4"/>
        <xdr:cNvSpPr txBox="1">
          <a:spLocks noChangeArrowheads="1"/>
        </xdr:cNvSpPr>
      </xdr:nvSpPr>
      <xdr:spPr>
        <a:xfrm>
          <a:off x="7772400" y="40576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UTCH"/>
              <a:ea typeface="DUTCH"/>
              <a:cs typeface="DUTCH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H461"/>
  <sheetViews>
    <sheetView tabSelected="1" defaultGridColor="0" zoomScale="87" zoomScaleNormal="87" zoomScaleSheetLayoutView="70" zoomScalePageLayoutView="0" colorId="22" workbookViewId="0" topLeftCell="A1">
      <pane xSplit="1" ySplit="109" topLeftCell="B302" activePane="bottomRight" state="frozen"/>
      <selection pane="topLeft" activeCell="A1" sqref="A1"/>
      <selection pane="topRight" activeCell="B1" sqref="B1"/>
      <selection pane="bottomLeft" activeCell="A110" sqref="A110"/>
      <selection pane="bottomRight" activeCell="O311" sqref="O311"/>
    </sheetView>
  </sheetViews>
  <sheetFormatPr defaultColWidth="8.796875" defaultRowHeight="14.25"/>
  <cols>
    <col min="1" max="1" width="14.8984375" style="3" customWidth="1"/>
    <col min="2" max="2" width="13" style="3" customWidth="1"/>
    <col min="3" max="3" width="15.59765625" style="3" customWidth="1"/>
    <col min="4" max="4" width="19" style="3" customWidth="1"/>
    <col min="5" max="5" width="19.09765625" style="3" customWidth="1"/>
    <col min="6" max="6" width="17.09765625" style="3" hidden="1" customWidth="1"/>
    <col min="7" max="7" width="19.69921875" style="3" customWidth="1"/>
    <col min="8" max="8" width="2.19921875" style="3" hidden="1" customWidth="1"/>
    <col min="9" max="9" width="23.59765625" style="61" customWidth="1"/>
    <col min="10" max="10" width="24.59765625" style="3" customWidth="1"/>
    <col min="11" max="11" width="18.59765625" style="3" customWidth="1"/>
    <col min="12" max="12" width="16.3984375" style="3" bestFit="1" customWidth="1"/>
    <col min="13" max="13" width="16.69921875" style="3" bestFit="1" customWidth="1"/>
    <col min="14" max="14" width="8.59765625" style="3" customWidth="1"/>
    <col min="15" max="15" width="14" style="3" customWidth="1"/>
    <col min="16" max="21" width="11.59765625" style="3" customWidth="1"/>
    <col min="22" max="22" width="21.59765625" style="3" customWidth="1"/>
    <col min="23" max="16384" width="9" style="3" customWidth="1"/>
  </cols>
  <sheetData>
    <row r="1" spans="1:16" ht="15" customHeight="1">
      <c r="A1" s="1"/>
      <c r="B1" s="1"/>
      <c r="C1" s="1"/>
      <c r="D1" s="1"/>
      <c r="E1" s="1"/>
      <c r="F1" s="1"/>
      <c r="G1" s="1"/>
      <c r="H1" s="1"/>
      <c r="I1" s="50"/>
      <c r="J1" s="1"/>
      <c r="K1" s="1"/>
      <c r="L1" s="1"/>
      <c r="M1" s="1"/>
      <c r="N1" s="1"/>
      <c r="O1" s="2"/>
      <c r="P1" s="2"/>
    </row>
    <row r="2" spans="1:92" ht="20.25">
      <c r="A2" s="31" t="s">
        <v>58</v>
      </c>
      <c r="B2" s="31"/>
      <c r="C2" s="31"/>
      <c r="D2" s="31"/>
      <c r="E2" s="31"/>
      <c r="F2" s="4"/>
      <c r="G2" s="4"/>
      <c r="H2" s="5"/>
      <c r="I2" s="51"/>
      <c r="J2" s="4"/>
      <c r="K2" s="4"/>
      <c r="L2" s="4"/>
      <c r="M2" s="4"/>
      <c r="N2" s="4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</row>
    <row r="3" spans="1:92" ht="20.25">
      <c r="A3" s="31" t="s">
        <v>59</v>
      </c>
      <c r="B3" s="31"/>
      <c r="C3" s="31"/>
      <c r="D3" s="31"/>
      <c r="E3" s="31"/>
      <c r="F3" s="4"/>
      <c r="G3" s="4"/>
      <c r="H3" s="5"/>
      <c r="I3" s="51"/>
      <c r="J3" s="4"/>
      <c r="K3" s="4"/>
      <c r="L3" s="4"/>
      <c r="M3" s="4"/>
      <c r="N3" s="4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92" ht="21" customHeight="1">
      <c r="A4" s="6"/>
      <c r="B4" s="148" t="s">
        <v>75</v>
      </c>
      <c r="C4" s="149"/>
      <c r="D4" s="149"/>
      <c r="E4" s="150"/>
      <c r="F4" s="27"/>
      <c r="G4" s="144" t="s">
        <v>107</v>
      </c>
      <c r="H4" s="151"/>
      <c r="I4" s="145"/>
      <c r="J4" s="144" t="s">
        <v>57</v>
      </c>
      <c r="K4" s="145"/>
      <c r="L4" s="2"/>
      <c r="M4" s="4"/>
      <c r="N4" s="4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</row>
    <row r="5" spans="1:92" ht="18">
      <c r="A5" s="7"/>
      <c r="B5" s="38" t="s">
        <v>66</v>
      </c>
      <c r="C5" s="42" t="s">
        <v>66</v>
      </c>
      <c r="D5" s="42" t="s">
        <v>74</v>
      </c>
      <c r="E5" s="40" t="s">
        <v>74</v>
      </c>
      <c r="F5" s="42" t="s">
        <v>20</v>
      </c>
      <c r="G5" s="152" t="s">
        <v>108</v>
      </c>
      <c r="H5" s="153"/>
      <c r="I5" s="154"/>
      <c r="J5" s="146" t="s">
        <v>60</v>
      </c>
      <c r="K5" s="147"/>
      <c r="L5" s="2"/>
      <c r="M5" s="4"/>
      <c r="N5" s="4"/>
      <c r="O5" s="5"/>
      <c r="P5" s="5"/>
      <c r="Q5" s="5"/>
      <c r="R5" s="5"/>
      <c r="S5" s="5"/>
      <c r="T5" s="5"/>
      <c r="U5" s="5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</row>
    <row r="6" spans="1:92" ht="18">
      <c r="A6" s="7"/>
      <c r="B6" s="39" t="s">
        <v>67</v>
      </c>
      <c r="C6" s="73" t="s">
        <v>70</v>
      </c>
      <c r="D6" s="73" t="s">
        <v>67</v>
      </c>
      <c r="E6" s="41" t="s">
        <v>73</v>
      </c>
      <c r="F6" s="73" t="s">
        <v>3</v>
      </c>
      <c r="G6" s="155" t="s">
        <v>109</v>
      </c>
      <c r="H6" s="156"/>
      <c r="I6" s="157"/>
      <c r="J6" s="44" t="s">
        <v>77</v>
      </c>
      <c r="K6" s="40" t="s">
        <v>64</v>
      </c>
      <c r="L6" s="2"/>
      <c r="M6" s="4"/>
      <c r="N6" s="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</row>
    <row r="7" spans="1:92" ht="21">
      <c r="A7" s="7"/>
      <c r="B7" s="39" t="s">
        <v>61</v>
      </c>
      <c r="C7" s="73" t="s">
        <v>61</v>
      </c>
      <c r="D7" s="73" t="s">
        <v>72</v>
      </c>
      <c r="E7" s="41" t="s">
        <v>72</v>
      </c>
      <c r="F7" s="73" t="s">
        <v>84</v>
      </c>
      <c r="G7" s="38" t="s">
        <v>22</v>
      </c>
      <c r="H7" s="27"/>
      <c r="I7" s="52" t="s">
        <v>25</v>
      </c>
      <c r="J7" s="64" t="s">
        <v>78</v>
      </c>
      <c r="K7" s="41" t="s">
        <v>18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</row>
    <row r="8" spans="1:92" ht="21">
      <c r="A8" s="7"/>
      <c r="B8" s="39" t="s">
        <v>1</v>
      </c>
      <c r="C8" s="73" t="s">
        <v>1</v>
      </c>
      <c r="D8" s="73" t="s">
        <v>76</v>
      </c>
      <c r="E8" s="41" t="s">
        <v>76</v>
      </c>
      <c r="F8" s="73" t="s">
        <v>21</v>
      </c>
      <c r="G8" s="39" t="s">
        <v>23</v>
      </c>
      <c r="H8" s="103"/>
      <c r="I8" s="53" t="s">
        <v>85</v>
      </c>
      <c r="J8" s="64" t="s">
        <v>91</v>
      </c>
      <c r="K8" s="41" t="s">
        <v>61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</row>
    <row r="9" spans="1:92" ht="18.75" customHeight="1">
      <c r="A9" s="7"/>
      <c r="B9" s="39" t="s">
        <v>68</v>
      </c>
      <c r="C9" s="73" t="s">
        <v>71</v>
      </c>
      <c r="D9" s="73" t="s">
        <v>68</v>
      </c>
      <c r="E9" s="41" t="s">
        <v>71</v>
      </c>
      <c r="F9" s="73" t="s">
        <v>19</v>
      </c>
      <c r="G9" s="39" t="s">
        <v>17</v>
      </c>
      <c r="H9" s="103"/>
      <c r="I9" s="53" t="s">
        <v>55</v>
      </c>
      <c r="J9" s="65" t="s">
        <v>79</v>
      </c>
      <c r="K9" s="41" t="s">
        <v>65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</row>
    <row r="10" spans="1:92" ht="18">
      <c r="A10" s="28" t="s">
        <v>4</v>
      </c>
      <c r="B10" s="72" t="s">
        <v>69</v>
      </c>
      <c r="C10" s="43" t="s">
        <v>69</v>
      </c>
      <c r="D10" s="43" t="s">
        <v>69</v>
      </c>
      <c r="E10" s="30" t="s">
        <v>69</v>
      </c>
      <c r="F10" s="43" t="s">
        <v>63</v>
      </c>
      <c r="G10" s="72" t="s">
        <v>24</v>
      </c>
      <c r="H10" s="29"/>
      <c r="I10" s="54" t="s">
        <v>54</v>
      </c>
      <c r="J10" s="66" t="s">
        <v>96</v>
      </c>
      <c r="K10" s="30" t="s">
        <v>62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</row>
    <row r="11" spans="1:92" ht="3" customHeight="1">
      <c r="A11" s="7"/>
      <c r="B11" s="7"/>
      <c r="C11" s="32"/>
      <c r="D11" s="32"/>
      <c r="E11" s="75"/>
      <c r="F11" s="36"/>
      <c r="G11" s="118" t="s">
        <v>2</v>
      </c>
      <c r="H11" s="36"/>
      <c r="I11" s="55"/>
      <c r="J11" s="122"/>
      <c r="K11" s="15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</row>
    <row r="12" spans="1:92" ht="15.75" customHeight="1" hidden="1">
      <c r="A12" s="7" t="s">
        <v>5</v>
      </c>
      <c r="B12" s="7"/>
      <c r="C12" s="32"/>
      <c r="D12" s="32"/>
      <c r="E12" s="75"/>
      <c r="F12" s="24">
        <v>65.46</v>
      </c>
      <c r="G12" s="16">
        <v>1981.3</v>
      </c>
      <c r="H12" s="22"/>
      <c r="I12" s="56">
        <v>12507</v>
      </c>
      <c r="J12" s="17">
        <v>299.2</v>
      </c>
      <c r="K12" s="18">
        <v>90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</row>
    <row r="13" spans="1:92" ht="15.75" customHeight="1" hidden="1">
      <c r="A13" s="7" t="s">
        <v>6</v>
      </c>
      <c r="B13" s="7"/>
      <c r="C13" s="32"/>
      <c r="D13" s="32"/>
      <c r="E13" s="75"/>
      <c r="F13" s="24">
        <v>86.22</v>
      </c>
      <c r="G13" s="16">
        <v>3007</v>
      </c>
      <c r="H13" s="22"/>
      <c r="I13" s="56">
        <v>13377</v>
      </c>
      <c r="J13" s="17">
        <v>207.3</v>
      </c>
      <c r="K13" s="18">
        <v>95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</row>
    <row r="14" spans="1:92" ht="15.75" customHeight="1" hidden="1">
      <c r="A14" s="85" t="s">
        <v>35</v>
      </c>
      <c r="B14" s="109" t="s">
        <v>30</v>
      </c>
      <c r="C14" s="78" t="s">
        <v>30</v>
      </c>
      <c r="D14" s="78" t="s">
        <v>30</v>
      </c>
      <c r="E14" s="79" t="s">
        <v>30</v>
      </c>
      <c r="F14" s="100">
        <v>75.68</v>
      </c>
      <c r="G14" s="16">
        <v>3715.6</v>
      </c>
      <c r="H14" s="22"/>
      <c r="I14" s="56">
        <v>14062</v>
      </c>
      <c r="J14" s="17" t="s">
        <v>0</v>
      </c>
      <c r="K14" s="20" t="s">
        <v>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</row>
    <row r="15" spans="1:92" ht="18" customHeight="1" hidden="1">
      <c r="A15" s="85" t="s">
        <v>36</v>
      </c>
      <c r="B15" s="109" t="s">
        <v>30</v>
      </c>
      <c r="C15" s="78" t="s">
        <v>30</v>
      </c>
      <c r="D15" s="78" t="s">
        <v>30</v>
      </c>
      <c r="E15" s="79" t="s">
        <v>30</v>
      </c>
      <c r="F15" s="100">
        <v>97.12</v>
      </c>
      <c r="G15" s="16">
        <v>3636.4</v>
      </c>
      <c r="H15" s="22"/>
      <c r="I15" s="56">
        <v>15195</v>
      </c>
      <c r="J15" s="17" t="s">
        <v>0</v>
      </c>
      <c r="K15" s="18" t="s">
        <v>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</row>
    <row r="16" spans="1:92" ht="18" customHeight="1" hidden="1">
      <c r="A16" s="85" t="s">
        <v>37</v>
      </c>
      <c r="B16" s="109" t="s">
        <v>30</v>
      </c>
      <c r="C16" s="78" t="s">
        <v>30</v>
      </c>
      <c r="D16" s="78" t="s">
        <v>30</v>
      </c>
      <c r="E16" s="79" t="s">
        <v>30</v>
      </c>
      <c r="F16" s="100">
        <v>170.6</v>
      </c>
      <c r="G16" s="16">
        <v>3929.9</v>
      </c>
      <c r="H16" s="22"/>
      <c r="I16" s="56">
        <v>17740</v>
      </c>
      <c r="J16" s="17" t="s">
        <v>0</v>
      </c>
      <c r="K16" s="18" t="s">
        <v>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</row>
    <row r="17" spans="1:92" ht="18" customHeight="1" hidden="1">
      <c r="A17" s="85" t="s">
        <v>38</v>
      </c>
      <c r="B17" s="77">
        <v>57</v>
      </c>
      <c r="C17" s="80">
        <v>78</v>
      </c>
      <c r="D17" s="78" t="s">
        <v>30</v>
      </c>
      <c r="E17" s="79" t="s">
        <v>30</v>
      </c>
      <c r="F17" s="100">
        <v>247.5</v>
      </c>
      <c r="G17" s="16">
        <v>6684.4</v>
      </c>
      <c r="H17" s="22"/>
      <c r="I17" s="56">
        <v>20628</v>
      </c>
      <c r="J17" s="16">
        <v>18.1</v>
      </c>
      <c r="K17" s="20">
        <v>76.7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</row>
    <row r="18" spans="1:92" ht="18" customHeight="1" hidden="1">
      <c r="A18" s="85" t="s">
        <v>39</v>
      </c>
      <c r="B18" s="77">
        <v>60</v>
      </c>
      <c r="C18" s="80">
        <v>80</v>
      </c>
      <c r="D18" s="78" t="s">
        <v>30</v>
      </c>
      <c r="E18" s="79" t="s">
        <v>30</v>
      </c>
      <c r="F18" s="100">
        <v>201.5</v>
      </c>
      <c r="G18" s="16">
        <v>1752.4</v>
      </c>
      <c r="H18" s="22"/>
      <c r="I18" s="56">
        <v>33811</v>
      </c>
      <c r="J18" s="16">
        <v>5755.6</v>
      </c>
      <c r="K18" s="20">
        <v>84.3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</row>
    <row r="19" spans="1:92" ht="18" customHeight="1" hidden="1">
      <c r="A19" s="85" t="s">
        <v>40</v>
      </c>
      <c r="B19" s="77">
        <v>46</v>
      </c>
      <c r="C19" s="80">
        <v>79</v>
      </c>
      <c r="D19" s="78" t="s">
        <v>30</v>
      </c>
      <c r="E19" s="79" t="s">
        <v>30</v>
      </c>
      <c r="F19" s="100">
        <v>115.83</v>
      </c>
      <c r="G19" s="16">
        <v>1767.1</v>
      </c>
      <c r="H19" s="22"/>
      <c r="I19" s="56">
        <v>33948</v>
      </c>
      <c r="J19" s="16">
        <v>16060.4</v>
      </c>
      <c r="K19" s="20">
        <v>88.9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</row>
    <row r="20" spans="1:92" ht="18" customHeight="1" hidden="1">
      <c r="A20" s="85" t="s">
        <v>41</v>
      </c>
      <c r="B20" s="77">
        <v>55</v>
      </c>
      <c r="C20" s="80">
        <v>70</v>
      </c>
      <c r="D20" s="78" t="s">
        <v>30</v>
      </c>
      <c r="E20" s="79" t="s">
        <v>30</v>
      </c>
      <c r="F20" s="100">
        <v>70.88</v>
      </c>
      <c r="G20" s="16">
        <v>1643.4</v>
      </c>
      <c r="H20" s="22"/>
      <c r="I20" s="56">
        <v>31746</v>
      </c>
      <c r="J20" s="16">
        <v>71470.2</v>
      </c>
      <c r="K20" s="20">
        <v>78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</row>
    <row r="21" spans="1:92" ht="15.75" customHeight="1" hidden="1">
      <c r="A21" s="85" t="s">
        <v>42</v>
      </c>
      <c r="B21" s="77"/>
      <c r="C21" s="80"/>
      <c r="D21" s="78" t="s">
        <v>30</v>
      </c>
      <c r="E21" s="79" t="s">
        <v>30</v>
      </c>
      <c r="F21" s="24">
        <v>52</v>
      </c>
      <c r="G21" s="16">
        <v>1189.1</v>
      </c>
      <c r="H21" s="22"/>
      <c r="I21" s="56">
        <v>31032</v>
      </c>
      <c r="J21" s="16">
        <v>31618927</v>
      </c>
      <c r="K21" s="69">
        <v>55.41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</row>
    <row r="22" spans="1:92" ht="15.75" customHeight="1" hidden="1">
      <c r="A22" s="85" t="s">
        <v>43</v>
      </c>
      <c r="B22" s="77"/>
      <c r="C22" s="80"/>
      <c r="D22" s="78" t="s">
        <v>30</v>
      </c>
      <c r="E22" s="79" t="s">
        <v>30</v>
      </c>
      <c r="F22" s="24">
        <v>93.57</v>
      </c>
      <c r="G22" s="16">
        <v>1444.9</v>
      </c>
      <c r="H22" s="22"/>
      <c r="I22" s="56">
        <v>31727</v>
      </c>
      <c r="J22" s="16">
        <v>92734610</v>
      </c>
      <c r="K22" s="69">
        <v>65.84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</row>
    <row r="23" spans="1:92" ht="15.75" customHeight="1" hidden="1">
      <c r="A23" s="85" t="s">
        <v>44</v>
      </c>
      <c r="B23" s="77"/>
      <c r="C23" s="80"/>
      <c r="D23" s="78" t="s">
        <v>30</v>
      </c>
      <c r="E23" s="79" t="s">
        <v>30</v>
      </c>
      <c r="F23" s="24">
        <v>57</v>
      </c>
      <c r="G23" s="16">
        <v>1406.3</v>
      </c>
      <c r="H23" s="22"/>
      <c r="I23" s="56">
        <v>33990</v>
      </c>
      <c r="J23" s="16">
        <v>149063050</v>
      </c>
      <c r="K23" s="20" t="s">
        <v>26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</row>
    <row r="24" spans="1:92" ht="15.75" customHeight="1" hidden="1">
      <c r="A24" s="85" t="s">
        <v>45</v>
      </c>
      <c r="B24" s="77"/>
      <c r="C24" s="80"/>
      <c r="D24" s="78" t="s">
        <v>30</v>
      </c>
      <c r="E24" s="79" t="s">
        <v>30</v>
      </c>
      <c r="F24" s="24">
        <v>81.27</v>
      </c>
      <c r="G24" s="16">
        <v>1852.2</v>
      </c>
      <c r="H24" s="22"/>
      <c r="I24" s="56">
        <v>34989</v>
      </c>
      <c r="J24" s="16" t="s">
        <v>27</v>
      </c>
      <c r="K24" s="20" t="s">
        <v>26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</row>
    <row r="25" spans="1:92" ht="15.75" customHeight="1" hidden="1">
      <c r="A25" s="85" t="s">
        <v>46</v>
      </c>
      <c r="B25" s="77"/>
      <c r="C25" s="80"/>
      <c r="D25" s="78" t="s">
        <v>30</v>
      </c>
      <c r="E25" s="79" t="s">
        <v>30</v>
      </c>
      <c r="F25" s="24">
        <v>66.67</v>
      </c>
      <c r="G25" s="16">
        <v>1353.2</v>
      </c>
      <c r="H25" s="22"/>
      <c r="I25" s="56">
        <v>36364</v>
      </c>
      <c r="J25" s="16" t="s">
        <v>27</v>
      </c>
      <c r="K25" s="20" t="s">
        <v>26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</row>
    <row r="26" spans="1:92" ht="15.75" customHeight="1" hidden="1">
      <c r="A26" s="85" t="s">
        <v>36</v>
      </c>
      <c r="B26" s="77"/>
      <c r="C26" s="80"/>
      <c r="D26" s="78" t="s">
        <v>30</v>
      </c>
      <c r="E26" s="79" t="s">
        <v>30</v>
      </c>
      <c r="F26" s="24">
        <v>92.05</v>
      </c>
      <c r="G26" s="16">
        <v>1913.5</v>
      </c>
      <c r="H26" s="22"/>
      <c r="I26" s="56">
        <v>37581</v>
      </c>
      <c r="J26" s="16" t="s">
        <v>27</v>
      </c>
      <c r="K26" s="20" t="s">
        <v>26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</row>
    <row r="27" spans="1:92" ht="15.75" customHeight="1" hidden="1">
      <c r="A27" s="7" t="s">
        <v>16</v>
      </c>
      <c r="B27" s="77"/>
      <c r="C27" s="80"/>
      <c r="D27" s="78" t="s">
        <v>30</v>
      </c>
      <c r="E27" s="79" t="s">
        <v>30</v>
      </c>
      <c r="F27" s="24">
        <v>99</v>
      </c>
      <c r="G27" s="16">
        <v>1666.5</v>
      </c>
      <c r="H27" s="22"/>
      <c r="I27" s="56">
        <v>40318</v>
      </c>
      <c r="J27" s="16" t="s">
        <v>27</v>
      </c>
      <c r="K27" s="20" t="s">
        <v>26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</row>
    <row r="28" spans="1:92" ht="15.75" customHeight="1" hidden="1">
      <c r="A28" s="7" t="s">
        <v>7</v>
      </c>
      <c r="B28" s="77"/>
      <c r="C28" s="80"/>
      <c r="D28" s="78" t="s">
        <v>30</v>
      </c>
      <c r="E28" s="79" t="s">
        <v>30</v>
      </c>
      <c r="F28" s="24">
        <f>(65+60+60+60.1)/4</f>
        <v>61.275</v>
      </c>
      <c r="G28" s="16">
        <v>641.8</v>
      </c>
      <c r="H28" s="22"/>
      <c r="I28" s="56">
        <v>41156</v>
      </c>
      <c r="J28" s="16" t="s">
        <v>27</v>
      </c>
      <c r="K28" s="20" t="s">
        <v>26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</row>
    <row r="29" spans="1:92" ht="15.75" customHeight="1" hidden="1">
      <c r="A29" s="7" t="s">
        <v>8</v>
      </c>
      <c r="B29" s="77"/>
      <c r="C29" s="80"/>
      <c r="D29" s="78" t="s">
        <v>30</v>
      </c>
      <c r="E29" s="79" t="s">
        <v>30</v>
      </c>
      <c r="F29" s="24">
        <v>64.5</v>
      </c>
      <c r="G29" s="16">
        <f>22+9.7+135.5+57.1+38.4+115+101.7+35.6+48.9+54.3+31.6+29.1+36+30.6+34.6+48.2+28.4+63+60.9+58.1</f>
        <v>1038.7</v>
      </c>
      <c r="H29" s="22"/>
      <c r="I29" s="56">
        <f>(41570+41675+41572+41580+41581+41827+41885+41805+41915+42030+41858+41865+41983+41996+42109+42079+42085+42162+42073+41962)/20</f>
        <v>41880.6</v>
      </c>
      <c r="J29" s="16" t="s">
        <v>27</v>
      </c>
      <c r="K29" s="20" t="s">
        <v>26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</row>
    <row r="30" spans="1:92" ht="15.75" customHeight="1" hidden="1">
      <c r="A30" s="7" t="s">
        <v>9</v>
      </c>
      <c r="B30" s="77"/>
      <c r="C30" s="80"/>
      <c r="D30" s="78" t="s">
        <v>30</v>
      </c>
      <c r="E30" s="79" t="s">
        <v>30</v>
      </c>
      <c r="F30" s="24">
        <v>53.333333333333336</v>
      </c>
      <c r="G30" s="16">
        <f>45.9+62.1+39.7+50+41.7+48.7+255.5+84.5+163.4+28.4+17.3+51.8+55.3+76.4+57.5+56.6+57+25.8</f>
        <v>1217.5999999999997</v>
      </c>
      <c r="H30" s="22"/>
      <c r="I30" s="56">
        <f>(41929+42002+42045+42019+41955+42386+42559+42628+42700+42606+42550+42272+42600+42797+42820+42585+42580+42683)/18</f>
        <v>42428.666666666664</v>
      </c>
      <c r="J30" s="16" t="s">
        <v>27</v>
      </c>
      <c r="K30" s="20" t="s">
        <v>26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</row>
    <row r="31" spans="1:92" ht="15.75" customHeight="1" hidden="1">
      <c r="A31" s="7" t="s">
        <v>10</v>
      </c>
      <c r="B31" s="77"/>
      <c r="C31" s="80"/>
      <c r="D31" s="78" t="s">
        <v>30</v>
      </c>
      <c r="E31" s="79" t="s">
        <v>30</v>
      </c>
      <c r="F31" s="24">
        <v>75.59</v>
      </c>
      <c r="G31" s="16">
        <f>(38.9+36.9+50.4+30.3+52.4+27.1+194+86.7+72.5+59.5+70.1+29.5+44.1+59+85.3+47.3+114.5+101.8)</f>
        <v>1200.3</v>
      </c>
      <c r="H31" s="22"/>
      <c r="I31" s="56">
        <f>(42590+42640+42517+42403+42300+43989+43960+43964+44051+44355+43977+43941+43739+42825+42569+42819)/16</f>
        <v>43289.9375</v>
      </c>
      <c r="J31" s="16" t="s">
        <v>27</v>
      </c>
      <c r="K31" s="20" t="s">
        <v>26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</row>
    <row r="32" spans="1:92" ht="15.75" customHeight="1" hidden="1">
      <c r="A32" s="7" t="s">
        <v>11</v>
      </c>
      <c r="B32" s="77"/>
      <c r="C32" s="80"/>
      <c r="D32" s="78" t="s">
        <v>30</v>
      </c>
      <c r="E32" s="79" t="s">
        <v>30</v>
      </c>
      <c r="F32" s="33" t="s">
        <v>27</v>
      </c>
      <c r="G32" s="16">
        <f>47.3+136.5+61.1+100.6+119.4+55.2+26.8+104.7+50+56.8+40.2+94.6+156.8+77.5+30.2+27+132.5+77.9+145+85.5+105.5+243.4</f>
        <v>1974.5000000000002</v>
      </c>
      <c r="H32" s="22"/>
      <c r="I32" s="56">
        <f>(43311+42945+43013+43048+43088+43191+43092+43100+43026+43219+43203+43222+43180+43269+43377+43579+43670+43717+43865+44120+44012)/21</f>
        <v>43345.09523809524</v>
      </c>
      <c r="J32" s="16" t="s">
        <v>27</v>
      </c>
      <c r="K32" s="20" t="s">
        <v>26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</row>
    <row r="33" spans="1:92" ht="15.75" customHeight="1" hidden="1">
      <c r="A33" s="7" t="s">
        <v>12</v>
      </c>
      <c r="B33" s="77"/>
      <c r="C33" s="80"/>
      <c r="D33" s="78" t="s">
        <v>30</v>
      </c>
      <c r="E33" s="79" t="s">
        <v>30</v>
      </c>
      <c r="F33" s="24">
        <v>44.5</v>
      </c>
      <c r="G33" s="16">
        <f>(33.5+20.4+43.4+47.5+56.9+82.2+133.3+155.9+36+47.6+84.5+54.6+49.7+60.2+53.9+71.5+71.5+48.1+49.7+64.8+76.2)</f>
        <v>1341.4</v>
      </c>
      <c r="H33" s="22"/>
      <c r="I33" s="56">
        <f>(44072+44184+44230+44264+44476+44691+44799+44796+44488+44569+44663+44560+44470+44638+44735+44812+45042+45034+45083+45110)/20</f>
        <v>44635.8</v>
      </c>
      <c r="J33" s="16" t="s">
        <v>27</v>
      </c>
      <c r="K33" s="20" t="s">
        <v>26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</row>
    <row r="34" spans="1:92" ht="15.75" customHeight="1" hidden="1">
      <c r="A34" s="7" t="s">
        <v>13</v>
      </c>
      <c r="B34" s="77"/>
      <c r="C34" s="80"/>
      <c r="D34" s="78" t="s">
        <v>30</v>
      </c>
      <c r="E34" s="79" t="s">
        <v>30</v>
      </c>
      <c r="F34" s="24">
        <v>61</v>
      </c>
      <c r="G34" s="16">
        <f>58.7+64.3+19.5+53.6+54.9+59.6+39.8+26.4+35.6+42.9+36+65.6+35.8+185.1+60.2+68.4+61.5+55.4+51+23.5+83.5+54.9</f>
        <v>1236.2</v>
      </c>
      <c r="H34" s="22"/>
      <c r="I34" s="56">
        <f>1030962/22</f>
        <v>46861.90909090909</v>
      </c>
      <c r="J34" s="16" t="s">
        <v>27</v>
      </c>
      <c r="K34" s="20" t="s">
        <v>26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</row>
    <row r="35" spans="1:92" ht="15.75" customHeight="1" hidden="1">
      <c r="A35" s="7" t="s">
        <v>14</v>
      </c>
      <c r="B35" s="77"/>
      <c r="C35" s="80"/>
      <c r="D35" s="78" t="s">
        <v>30</v>
      </c>
      <c r="E35" s="79" t="s">
        <v>30</v>
      </c>
      <c r="F35" s="24">
        <f>507.93/5</f>
        <v>101.586</v>
      </c>
      <c r="G35" s="16">
        <f>60.7+9.1+39.1+27.9+45.9+29.6+30.4+24.8+23.5+9.7+45.9+40.4+32.1+61.8+340</f>
        <v>820.9</v>
      </c>
      <c r="H35" s="22"/>
      <c r="I35" s="56">
        <f>(571193+48100*7)/19</f>
        <v>47783.84210526316</v>
      </c>
      <c r="J35" s="16" t="s">
        <v>27</v>
      </c>
      <c r="K35" s="20" t="s">
        <v>26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</row>
    <row r="36" spans="1:92" ht="15.75" customHeight="1" hidden="1">
      <c r="A36" s="7" t="s">
        <v>15</v>
      </c>
      <c r="B36" s="77"/>
      <c r="C36" s="80"/>
      <c r="D36" s="78" t="s">
        <v>30</v>
      </c>
      <c r="E36" s="79" t="s">
        <v>30</v>
      </c>
      <c r="F36" s="24">
        <v>84.86</v>
      </c>
      <c r="G36" s="16">
        <f>85.8+44.7+29.1+43.3+65.3+47.4+23.1+234.2+44.4+323.3+262.9+35.5+45.9+52.9+103.8+127.2+69.8+41.5+54.2+88.4+88.8+80.8</f>
        <v>1992.3000000000002</v>
      </c>
      <c r="H36" s="22"/>
      <c r="I36" s="56">
        <f>1054357/21</f>
        <v>50207.47619047619</v>
      </c>
      <c r="J36" s="16" t="s">
        <v>27</v>
      </c>
      <c r="K36" s="20" t="s">
        <v>26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</row>
    <row r="37" spans="1:92" ht="15.75" customHeight="1" hidden="1">
      <c r="A37" s="7" t="s">
        <v>6</v>
      </c>
      <c r="B37" s="77"/>
      <c r="C37" s="80"/>
      <c r="D37" s="78" t="s">
        <v>30</v>
      </c>
      <c r="E37" s="79" t="s">
        <v>30</v>
      </c>
      <c r="F37" s="24">
        <v>87.6</v>
      </c>
      <c r="G37" s="16">
        <f>(38.8+53+125.5+289.1+62.6+58.1+71.8+57.5+81+23+101.3+260.9+236.7+217.8+354.9+663.7+387.7+406.6+1396.2+1791.2+1016.7+325.6)</f>
        <v>8019.7</v>
      </c>
      <c r="H37" s="22"/>
      <c r="I37" s="56">
        <f>(51295+51519+51653+51615+51618+51682+51808+51772+51963+52195+52275+52520+52539+52997+53001+53169+53581+54034+54489+54499+54642)/21</f>
        <v>52612.666666666664</v>
      </c>
      <c r="J37" s="16" t="s">
        <v>27</v>
      </c>
      <c r="K37" s="20" t="s">
        <v>26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</row>
    <row r="38" spans="1:92" ht="15.75" customHeight="1" hidden="1">
      <c r="A38" s="85" t="s">
        <v>37</v>
      </c>
      <c r="B38" s="77"/>
      <c r="C38" s="80"/>
      <c r="D38" s="78" t="s">
        <v>30</v>
      </c>
      <c r="E38" s="79" t="s">
        <v>30</v>
      </c>
      <c r="F38" s="24">
        <f>(95.75+103+117.13)/3</f>
        <v>105.29333333333334</v>
      </c>
      <c r="G38" s="16">
        <f>(485.8+534.5+154.5+500.5+116.1+39.9+287.8+52.1+448.9+544.1+32.5+583.5+297.6+306.5+502.8+143.7+27+47.1+516.6+250+350)</f>
        <v>6221.5</v>
      </c>
      <c r="H38" s="22"/>
      <c r="I38" s="56">
        <f>(55031+55015+55057+55265+55526+55754+55944+56065+56414+56437+56555+56846+56869+57815+57245+57501+59050+60683+61500+61000)/20</f>
        <v>57078.6</v>
      </c>
      <c r="J38" s="16" t="s">
        <v>27</v>
      </c>
      <c r="K38" s="20" t="s">
        <v>26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</row>
    <row r="39" spans="1:92" ht="15.75" customHeight="1" hidden="1">
      <c r="A39" s="85" t="s">
        <v>31</v>
      </c>
      <c r="B39" s="77"/>
      <c r="C39" s="80"/>
      <c r="D39" s="78" t="s">
        <v>30</v>
      </c>
      <c r="E39" s="79" t="s">
        <v>30</v>
      </c>
      <c r="F39" s="24">
        <v>93</v>
      </c>
      <c r="G39" s="16">
        <f>349.6+35.1+91.9+81.4+119+443.2+231.3+168.1+212+129.7+802.3+439.3+161.5+203.2+127.1+176.8+87.4+518.1+238.5+98.9+269.9+244.9</f>
        <v>5229.199999999999</v>
      </c>
      <c r="H39" s="22"/>
      <c r="I39" s="56">
        <f>(61614+60250+59363+59306+59263+59407+59453+59557+59830+60386+60400+60610+60896+61249+61375+61716+61855+62199+62675+62659+62801)/21</f>
        <v>60803.04761904762</v>
      </c>
      <c r="J39" s="16" t="s">
        <v>27</v>
      </c>
      <c r="K39" s="20" t="s">
        <v>26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</row>
    <row r="40" spans="1:92" ht="15.75" customHeight="1" hidden="1">
      <c r="A40" s="7">
        <v>2</v>
      </c>
      <c r="B40" s="77"/>
      <c r="C40" s="80"/>
      <c r="D40" s="78" t="s">
        <v>30</v>
      </c>
      <c r="E40" s="79" t="s">
        <v>30</v>
      </c>
      <c r="F40" s="24">
        <f>251.39/3</f>
        <v>83.79666666666667</v>
      </c>
      <c r="G40" s="16">
        <f>400.2+111.8+160.1+82.21+167.92+350.05+220.94+159.64+51.1+131.84+284.6+170.9+102.4+53.8+102.1+158.1</f>
        <v>2707.7000000000003</v>
      </c>
      <c r="H40" s="22"/>
      <c r="I40" s="56">
        <f>(63090+63193+63369+63403+63712+63760+63758+63997+64150+64275+64390+64579+65552+65673+65752+65909)/16</f>
        <v>64285.125</v>
      </c>
      <c r="J40" s="16" t="s">
        <v>27</v>
      </c>
      <c r="K40" s="20" t="s">
        <v>26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</row>
    <row r="41" spans="1:92" ht="15.75" customHeight="1" hidden="1">
      <c r="A41" s="7">
        <v>3</v>
      </c>
      <c r="B41" s="77"/>
      <c r="C41" s="80"/>
      <c r="D41" s="78" t="s">
        <v>30</v>
      </c>
      <c r="E41" s="79" t="s">
        <v>30</v>
      </c>
      <c r="F41" s="24">
        <v>88</v>
      </c>
      <c r="G41" s="16">
        <f>32.5+50.4+66.6+38.2+84.4+83.9+269+402.5+74.9+71.6+78.4+71.2+322.2+58.4+27.6+77.5+107.5+121.63+179.8</f>
        <v>2218.2300000000005</v>
      </c>
      <c r="H41" s="22"/>
      <c r="I41" s="56">
        <f>(66390+66637+66823+66948+67260+67403+67894+68117+68080+68113+68276+68802+69246+69285+69518+69908+70261+70590+70875)/19</f>
        <v>68443.47368421052</v>
      </c>
      <c r="J41" s="16">
        <v>51861.7</v>
      </c>
      <c r="K41" s="21">
        <v>93.73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</row>
    <row r="42" spans="1:92" ht="15.75" customHeight="1" hidden="1">
      <c r="A42" s="7">
        <v>4</v>
      </c>
      <c r="B42" s="77"/>
      <c r="C42" s="80"/>
      <c r="D42" s="78" t="s">
        <v>30</v>
      </c>
      <c r="E42" s="79" t="s">
        <v>30</v>
      </c>
      <c r="F42" s="33" t="s">
        <v>28</v>
      </c>
      <c r="G42" s="16">
        <v>1186.4</v>
      </c>
      <c r="H42" s="22"/>
      <c r="I42" s="56">
        <v>72810.9</v>
      </c>
      <c r="J42" s="16">
        <v>23656.9</v>
      </c>
      <c r="K42" s="21">
        <v>87.54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</row>
    <row r="43" spans="1:92" ht="15.75" customHeight="1" hidden="1">
      <c r="A43" s="7">
        <v>5</v>
      </c>
      <c r="B43" s="77"/>
      <c r="C43" s="80"/>
      <c r="D43" s="78" t="s">
        <v>30</v>
      </c>
      <c r="E43" s="79" t="s">
        <v>30</v>
      </c>
      <c r="F43" s="24">
        <v>68</v>
      </c>
      <c r="G43" s="16">
        <v>1997</v>
      </c>
      <c r="H43" s="22"/>
      <c r="I43" s="56">
        <v>77000.8</v>
      </c>
      <c r="J43" s="16">
        <v>97926.3</v>
      </c>
      <c r="K43" s="21">
        <v>79.64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</row>
    <row r="44" spans="1:92" ht="15.75" customHeight="1" hidden="1">
      <c r="A44" s="7">
        <v>6</v>
      </c>
      <c r="B44" s="77"/>
      <c r="C44" s="80"/>
      <c r="D44" s="78" t="s">
        <v>30</v>
      </c>
      <c r="E44" s="79" t="s">
        <v>30</v>
      </c>
      <c r="F44" s="33" t="s">
        <v>26</v>
      </c>
      <c r="G44" s="16">
        <v>1696.2</v>
      </c>
      <c r="H44" s="22"/>
      <c r="I44" s="56">
        <v>80017.4</v>
      </c>
      <c r="J44" s="16">
        <v>38262.8</v>
      </c>
      <c r="K44" s="21">
        <v>78.5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</row>
    <row r="45" spans="1:92" ht="15.75" customHeight="1" hidden="1">
      <c r="A45" s="7">
        <v>7</v>
      </c>
      <c r="B45" s="77"/>
      <c r="C45" s="80"/>
      <c r="D45" s="78" t="s">
        <v>30</v>
      </c>
      <c r="E45" s="79" t="s">
        <v>30</v>
      </c>
      <c r="F45" s="33" t="s">
        <v>26</v>
      </c>
      <c r="G45" s="16">
        <f>157.41+141.06+369.41+15.42+90.25+112.49+67.58+7.94+118.26+51.09+297.31+336.83+294.27+22.35+47.35+45.04+14.44+106.36+32.73+74.37+40.76+25.69+12.34</f>
        <v>2480.75</v>
      </c>
      <c r="H45" s="22"/>
      <c r="I45" s="56">
        <f>(81946+82147+82353+82520+82858+82812+82800+82912+82990+83506+83248+82942+83096+83299+83488+83280+83341+83423+83294+83544+83465+83205)/22</f>
        <v>83021.31818181818</v>
      </c>
      <c r="J45" s="16">
        <v>27354.7</v>
      </c>
      <c r="K45" s="21">
        <v>78.47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</row>
    <row r="46" spans="1:92" ht="15.75" customHeight="1" hidden="1">
      <c r="A46" s="7">
        <v>8</v>
      </c>
      <c r="B46" s="77"/>
      <c r="C46" s="80"/>
      <c r="D46" s="78" t="s">
        <v>30</v>
      </c>
      <c r="E46" s="79" t="s">
        <v>30</v>
      </c>
      <c r="F46" s="33" t="s">
        <v>26</v>
      </c>
      <c r="G46" s="16">
        <f>28.57+55.31+90.64+30.61+19.94+55.93+24.74+18.47+34.95+33.45+109.97+19.53+46+29.59+15.83+31.05+24.46+64.35+27.74+92.64</f>
        <v>853.7700000000001</v>
      </c>
      <c r="H46" s="22"/>
      <c r="I46" s="56">
        <f>(83443+83731+83842+84223+84374+84614+84580+84740+84896+85215+85215+85564+85698+86032+86056+86272+86285+86211+86155+86201)/20</f>
        <v>85167.35</v>
      </c>
      <c r="J46" s="16">
        <v>1765</v>
      </c>
      <c r="K46" s="21">
        <v>77.71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</row>
    <row r="47" spans="1:92" ht="15.75" customHeight="1" hidden="1">
      <c r="A47" s="7">
        <v>9</v>
      </c>
      <c r="B47" s="77"/>
      <c r="C47" s="80"/>
      <c r="D47" s="78" t="s">
        <v>30</v>
      </c>
      <c r="E47" s="79" t="s">
        <v>30</v>
      </c>
      <c r="F47" s="33" t="s">
        <v>26</v>
      </c>
      <c r="G47" s="16">
        <f>27.84+64.82+76.09+48.52+39.69+135.63+147.26+249.94+59.25+171.36+76.01+274.26+140.04+193.86+122.07+108.67+84.83+70.05+36.83+64.72+93.94</f>
        <v>2285.68</v>
      </c>
      <c r="H47" s="22"/>
      <c r="I47" s="56">
        <f>(86300+86912+87091+87066+87354+87962+88369+88849+89002+89318+89628+89830+90128+90199+90409+90804+90829+90723+91400+91763)/20</f>
        <v>89196.8</v>
      </c>
      <c r="J47" s="16">
        <v>2532</v>
      </c>
      <c r="K47" s="21">
        <v>78.05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</row>
    <row r="48" spans="1:92" ht="15.75" customHeight="1" hidden="1">
      <c r="A48" s="7">
        <v>10</v>
      </c>
      <c r="B48" s="77"/>
      <c r="C48" s="80"/>
      <c r="D48" s="78" t="s">
        <v>30</v>
      </c>
      <c r="E48" s="79" t="s">
        <v>30</v>
      </c>
      <c r="F48" s="33" t="s">
        <v>26</v>
      </c>
      <c r="G48" s="16">
        <f>41.18+134.2+87.25+127.14+56.68+27.92+49.06+98.22+96.88+37.35+41.08+159.96+56.49+175.6+38.56+53.71+211.95+54.16+197.01+11.26+59.49</f>
        <v>1815.1500000000003</v>
      </c>
      <c r="H48" s="22"/>
      <c r="I48" s="56">
        <f>(91849+92087+92400+92474+92865+92868+93154+93307+93398+94143+94705+94718+94864+95313+95367+95233+95346+95510+95930+95918)/20</f>
        <v>94072.45</v>
      </c>
      <c r="J48" s="16">
        <v>13500.9</v>
      </c>
      <c r="K48" s="21">
        <v>78.1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</row>
    <row r="49" spans="1:92" ht="15.75" customHeight="1" hidden="1">
      <c r="A49" s="7">
        <v>11</v>
      </c>
      <c r="B49" s="77"/>
      <c r="C49" s="80"/>
      <c r="D49" s="78" t="s">
        <v>30</v>
      </c>
      <c r="E49" s="79" t="s">
        <v>30</v>
      </c>
      <c r="F49" s="33" t="s">
        <v>26</v>
      </c>
      <c r="G49" s="16">
        <f>81.65+167.9+30.89+484.53+300.77+76.15+170.97+358.68+187.42+218.67+226.04+265.6+372.34+82.11+68.26+99.63+88.91+60.86+90.64</f>
        <v>3432.0200000000004</v>
      </c>
      <c r="H49" s="22"/>
      <c r="I49" s="56">
        <f>(96465+96878+97175+97832+97491+97685+97981+98413+98562+98748+99242+99335+99376+99477+99608+100985+101131)/17</f>
        <v>98610.82352941176</v>
      </c>
      <c r="J49" s="16">
        <v>78962.5</v>
      </c>
      <c r="K49" s="21">
        <v>78.51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</row>
    <row r="50" spans="1:92" ht="15.75" customHeight="1" hidden="1">
      <c r="A50" s="85" t="s">
        <v>38</v>
      </c>
      <c r="B50" s="77"/>
      <c r="C50" s="80"/>
      <c r="D50" s="78" t="s">
        <v>30</v>
      </c>
      <c r="E50" s="79" t="s">
        <v>30</v>
      </c>
      <c r="F50" s="24">
        <f>(75+75+75+75+75+75+75+75+75)/9</f>
        <v>75</v>
      </c>
      <c r="G50" s="16">
        <f>(105.15+127.09+130.86+176.08+157.87+23.15+285.79+41.32+44.73+36.03+201.2+76.49+47.56+430.65+311.63+118.2+365.76+485.05)</f>
        <v>3164.6099999999997</v>
      </c>
      <c r="H50" s="22"/>
      <c r="I50" s="56">
        <f>(102446+103376+103465+103692+102961+103980+104147+103930+104137+104282+105324+105180+105464+105836+106092+106555+106801)/17</f>
        <v>104568.70588235294</v>
      </c>
      <c r="J50" s="16">
        <v>80399.5</v>
      </c>
      <c r="K50" s="21">
        <v>79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</row>
    <row r="51" spans="1:92" ht="15.75" customHeight="1" hidden="1">
      <c r="A51" s="85" t="s">
        <v>32</v>
      </c>
      <c r="B51" s="77"/>
      <c r="C51" s="80"/>
      <c r="D51" s="78" t="s">
        <v>30</v>
      </c>
      <c r="E51" s="79" t="s">
        <v>30</v>
      </c>
      <c r="F51" s="33" t="s">
        <v>26</v>
      </c>
      <c r="G51" s="16">
        <f>(268.29+67.02+44.85+103.44+39.25+55.58+118.33+91.87+225.59+45.49+58.29+37.91+15.21+99.16+45.93+83.03+39.16+67.07+40.16+54.8)</f>
        <v>1600.4300000000003</v>
      </c>
      <c r="H51" s="22"/>
      <c r="I51" s="56">
        <f>(108282+108269+109458+109516+109847+110476+110731+111513+111774+112342+112240+112839+114170+114991+114967+114777+115350+116015)/18</f>
        <v>112086.5</v>
      </c>
      <c r="J51" s="16">
        <v>26449.7</v>
      </c>
      <c r="K51" s="21">
        <v>75.01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</row>
    <row r="52" spans="1:92" ht="15.75" customHeight="1" hidden="1">
      <c r="A52" s="7">
        <v>2</v>
      </c>
      <c r="B52" s="77"/>
      <c r="C52" s="80"/>
      <c r="D52" s="78" t="s">
        <v>30</v>
      </c>
      <c r="E52" s="79" t="s">
        <v>30</v>
      </c>
      <c r="F52" s="24">
        <v>67.97</v>
      </c>
      <c r="G52" s="16">
        <f>51.16+226.64+86.38+80.63+86.48+294.03+399.01+200.43+421.68+143.25+173.81+124.8+109.67+71.81+118.93+89.33+52.75+61.22</f>
        <v>2792.0099999999998</v>
      </c>
      <c r="H52" s="22"/>
      <c r="I52" s="56">
        <v>113101.7</v>
      </c>
      <c r="J52" s="16">
        <v>192398.4</v>
      </c>
      <c r="K52" s="21">
        <v>70.65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</row>
    <row r="53" spans="1:92" ht="15.75" customHeight="1" hidden="1">
      <c r="A53" s="7">
        <v>3</v>
      </c>
      <c r="B53" s="77"/>
      <c r="C53" s="80"/>
      <c r="D53" s="78" t="s">
        <v>30</v>
      </c>
      <c r="E53" s="79" t="s">
        <v>30</v>
      </c>
      <c r="F53" s="24">
        <v>68</v>
      </c>
      <c r="G53" s="16">
        <f>105.16+268.35+244.61+27.1+38.85+212.58+26.42+116.18+60.23+55.44+66.37+29.02+82.14+64.26+20.2+65.67+41.56+103.67+36.4+102.89+65.78</f>
        <v>1832.8800000000003</v>
      </c>
      <c r="H53" s="22"/>
      <c r="I53" s="56">
        <f>(123025+123694+124082+124320+124427+124698+124809+125014+124720+125308+125248+125373+125291+126090+126644+126722+127097+126860+126866+127635)/20</f>
        <v>125396.15</v>
      </c>
      <c r="J53" s="16">
        <v>42199.7</v>
      </c>
      <c r="K53" s="21">
        <v>72.75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</row>
    <row r="54" spans="1:92" ht="15.75" customHeight="1" hidden="1">
      <c r="A54" s="7">
        <v>4</v>
      </c>
      <c r="B54" s="77"/>
      <c r="C54" s="80"/>
      <c r="D54" s="78" t="s">
        <v>30</v>
      </c>
      <c r="E54" s="79" t="s">
        <v>30</v>
      </c>
      <c r="F54" s="24">
        <v>68</v>
      </c>
      <c r="G54" s="16">
        <v>2168.8</v>
      </c>
      <c r="H54" s="22"/>
      <c r="I54" s="56">
        <v>132802</v>
      </c>
      <c r="J54" s="16">
        <v>350696.9</v>
      </c>
      <c r="K54" s="21">
        <v>75.04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</row>
    <row r="55" spans="1:92" ht="15.75" customHeight="1" hidden="1">
      <c r="A55" s="7">
        <v>5</v>
      </c>
      <c r="B55" s="77"/>
      <c r="C55" s="80"/>
      <c r="D55" s="78" t="s">
        <v>30</v>
      </c>
      <c r="E55" s="79" t="s">
        <v>30</v>
      </c>
      <c r="F55" s="24">
        <v>68</v>
      </c>
      <c r="G55" s="16">
        <f>33.17+14.96+117.03+58.78+53.33+62.22+58.06+28.73+28.67+51.6+93.84+52.01+86.08+41.34+100.16+79.13+127.48+92.48+31.26</f>
        <v>1210.3300000000002</v>
      </c>
      <c r="H55" s="22"/>
      <c r="I55" s="56">
        <f>(135590+136347+136585+136400+136374+136173+136394+136927+137385+137100+137614+138217+137980+138479+138508+139354+140025)/17</f>
        <v>137379.5294117647</v>
      </c>
      <c r="J55" s="16">
        <v>252347.9</v>
      </c>
      <c r="K55" s="21">
        <v>75.31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</row>
    <row r="56" spans="1:92" ht="15.75" customHeight="1" hidden="1">
      <c r="A56" s="7">
        <v>6</v>
      </c>
      <c r="B56" s="77"/>
      <c r="C56" s="80"/>
      <c r="D56" s="78" t="s">
        <v>30</v>
      </c>
      <c r="E56" s="79" t="s">
        <v>30</v>
      </c>
      <c r="F56" s="24">
        <f>(68+68+68+68+68+70+70+70+70+70+70+70+71+71+71+71+71+71+71+71+71)/21</f>
        <v>69.95238095238095</v>
      </c>
      <c r="G56" s="16">
        <f>66.41+68.07+45.71+69.82+20.9+256.69+85.26+57.83+35.2+108.83+194.08+85.71+238.19+156.9+73.66+16.6+50.43+73.58+25.44+66.16+83.72</f>
        <v>1879.1900000000003</v>
      </c>
      <c r="H56" s="22"/>
      <c r="I56" s="56">
        <f>(141550+142030+142596+142531+142960+143034+143192+143389+144059+144550+145440+145662+145556+145930+145885+146435+146614+146970+147235+148295)/20</f>
        <v>144695.65</v>
      </c>
      <c r="J56" s="16">
        <v>105399.2</v>
      </c>
      <c r="K56" s="21">
        <v>80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</row>
    <row r="57" spans="1:92" ht="15.75" customHeight="1" hidden="1">
      <c r="A57" s="7">
        <v>7</v>
      </c>
      <c r="B57" s="77"/>
      <c r="C57" s="80"/>
      <c r="D57" s="78" t="s">
        <v>30</v>
      </c>
      <c r="E57" s="79" t="s">
        <v>30</v>
      </c>
      <c r="F57" s="24">
        <f>(70.78+70.75+70.99+71.88+72+71.75+71.75+71.95+71.75+71.88+72+72+72+72+74+74+74+74+74+74)/20</f>
        <v>72.374</v>
      </c>
      <c r="G57" s="16">
        <f>43.04+40.29+15.86+16.45+94.44+272.13+57.62+88.44+14.34+49.65+74.65+61.02+67.46+47.15+62.16+33.33+182.74+222.33+20.41+62.62+42.37+99.25</f>
        <v>1667.7499999999998</v>
      </c>
      <c r="H57" s="22"/>
      <c r="I57" s="56">
        <f>(148666+148975+149947+150577+150925+150944+153350+153629+153859+154287+154578+155221+156244+157331+157417+158050+159156+159121+159504)/19</f>
        <v>154304.26315789475</v>
      </c>
      <c r="J57" s="16">
        <v>429446.4</v>
      </c>
      <c r="K57" s="21">
        <v>80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</row>
    <row r="58" spans="1:92" ht="15.75" customHeight="1" hidden="1">
      <c r="A58" s="7">
        <v>8</v>
      </c>
      <c r="B58" s="77"/>
      <c r="C58" s="80"/>
      <c r="D58" s="78" t="s">
        <v>30</v>
      </c>
      <c r="E58" s="79" t="s">
        <v>30</v>
      </c>
      <c r="F58" s="24">
        <f>(74+74+74+74+74+74+74+74+74+74+74+74+74+74+74+76+76+76+76)/19</f>
        <v>74.42105263157895</v>
      </c>
      <c r="G58" s="16">
        <f>28.45+42.12+13.43+55.09+55.67+25.35+65.77+68.4+46.54+34.38+38.88+134.62+119.24+157.2+42.9+33.06+107.66+135.45+43.88+78.17+173.61</f>
        <v>1499.8700000000003</v>
      </c>
      <c r="H58" s="22"/>
      <c r="I58" s="56">
        <f>(160284+161856+162200+163190+163010+163340+163795+163386+163851+163838+164649+165591+165910+164926+166018+165436+165889+166520+166229)/19</f>
        <v>164206.2105263158</v>
      </c>
      <c r="J58" s="16">
        <v>582995.7</v>
      </c>
      <c r="K58" s="21">
        <v>80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</row>
    <row r="59" spans="1:92" ht="15.75" customHeight="1" hidden="1">
      <c r="A59" s="7">
        <v>9</v>
      </c>
      <c r="B59" s="77"/>
      <c r="C59" s="80"/>
      <c r="D59" s="78" t="s">
        <v>30</v>
      </c>
      <c r="E59" s="79" t="s">
        <v>30</v>
      </c>
      <c r="F59" s="24">
        <f>(76+76+76+76+76+76+76+76+76+76+76+76+76+76+76+76+76+76+76)/19</f>
        <v>76</v>
      </c>
      <c r="G59" s="16">
        <f>54.91+46.04+42.22+37.36+33.33+42.69+49.83+64.72+44.91+64+43.79+91.91+32.19+39.83+49.03+52.5+26.05+49.68+51.93+55.09+84.96+48.29</f>
        <v>1105.2599999999998</v>
      </c>
      <c r="H59" s="22"/>
      <c r="I59" s="56">
        <f>(168555+168958+169091+169214+169565+170242+170015+169783+169888+170376+170750+170840+171722+173040+173333+173020+173099+172347+173447+174195)/20</f>
        <v>171074</v>
      </c>
      <c r="J59" s="16">
        <v>443396.8</v>
      </c>
      <c r="K59" s="21">
        <v>80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</row>
    <row r="60" spans="1:92" ht="15.75" customHeight="1" hidden="1">
      <c r="A60" s="7">
        <v>10</v>
      </c>
      <c r="B60" s="77"/>
      <c r="C60" s="80"/>
      <c r="D60" s="78" t="s">
        <v>30</v>
      </c>
      <c r="E60" s="79" t="s">
        <v>30</v>
      </c>
      <c r="F60" s="24">
        <f>(76+76+76+76+76+76+76+75.75+76+76+76)/11</f>
        <v>75.97727272727273</v>
      </c>
      <c r="G60" s="16">
        <f>55.34+71.34+232.08+254+200.18+353.06+174.56+85.2+57.13+311.59+262.68+72.12+220.01+116.94+219.2+233.21+49.44+373.98+666.77+833.6+448.68</f>
        <v>5291.110000000001</v>
      </c>
      <c r="H60" s="22"/>
      <c r="I60" s="56">
        <f>(174228+174697+175324+175171+175196+175968+175611+176064+177989+178304+178078+179043+180740+181427+181980+182207+182512+182811+181309+181503)/20</f>
        <v>178508.1</v>
      </c>
      <c r="J60" s="16">
        <v>474696.5</v>
      </c>
      <c r="K60" s="21">
        <v>80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</row>
    <row r="61" spans="1:92" ht="15.75" customHeight="1" hidden="1">
      <c r="A61" s="7">
        <v>11</v>
      </c>
      <c r="B61" s="77"/>
      <c r="C61" s="80"/>
      <c r="D61" s="78" t="s">
        <v>30</v>
      </c>
      <c r="E61" s="79" t="s">
        <v>30</v>
      </c>
      <c r="F61" s="24">
        <f>(78+78+78+78+78+78+78+78+78+78+78)/11</f>
        <v>78</v>
      </c>
      <c r="G61" s="16">
        <f>273.34+228.07+106.72+119.1+29.92+317.97+6.87+187.63+565.1+203.22+134.71+510.33+172+120.31+97.43+132.29+193.65+196.52</f>
        <v>3595.1799999999994</v>
      </c>
      <c r="H61" s="22"/>
      <c r="I61" s="56">
        <f>(183899+183320+183836+185141+185761+186626+187411+189026+188880+189294+189574+190866+191304+192144+193105)/16</f>
        <v>176261.6875</v>
      </c>
      <c r="J61" s="16">
        <v>2501631.9</v>
      </c>
      <c r="K61" s="21">
        <v>80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</row>
    <row r="62" spans="1:92" ht="15.75" customHeight="1" hidden="1">
      <c r="A62" s="85" t="s">
        <v>39</v>
      </c>
      <c r="B62" s="77"/>
      <c r="C62" s="80"/>
      <c r="D62" s="78" t="s">
        <v>30</v>
      </c>
      <c r="E62" s="79" t="s">
        <v>30</v>
      </c>
      <c r="F62" s="24">
        <f>(77.97+78+78+78+78+80+80+80+80+80+80+80+80+80+80+80+80+80)/18</f>
        <v>79.44277777777778</v>
      </c>
      <c r="G62" s="16">
        <f>207.95+157.24+87.76+101.56+43.43+484.92+262.71+272.07+286.87+325.18+214.66+69.93+177.78+104.13+28.49+160.69+116.94+109.63+11.9+52.38+332.22+129.68+90.47</f>
        <v>3828.5899999999992</v>
      </c>
      <c r="H62" s="22"/>
      <c r="I62" s="56">
        <f>(195965+495972+196327+196661+196942+198734+198987+199073+199013+198673+200125+200618+200262+201091+201100+202665+202778+202944+203612+204801+205766+206041)/22</f>
        <v>214006.81818181818</v>
      </c>
      <c r="J62" s="16">
        <v>3784223.1</v>
      </c>
      <c r="K62" s="21">
        <v>81.25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</row>
    <row r="63" spans="1:92" ht="15.75" customHeight="1" hidden="1">
      <c r="A63" s="85" t="s">
        <v>33</v>
      </c>
      <c r="B63" s="77"/>
      <c r="C63" s="80"/>
      <c r="D63" s="78" t="s">
        <v>30</v>
      </c>
      <c r="E63" s="79" t="s">
        <v>30</v>
      </c>
      <c r="F63" s="117">
        <f>79.88</f>
        <v>79.88</v>
      </c>
      <c r="G63" s="16">
        <v>1781.53</v>
      </c>
      <c r="H63" s="22"/>
      <c r="I63" s="56">
        <v>212535.7</v>
      </c>
      <c r="J63" s="16">
        <v>1201042.3</v>
      </c>
      <c r="K63" s="21">
        <v>80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</row>
    <row r="64" spans="1:92" ht="15.75" customHeight="1" hidden="1">
      <c r="A64" s="7">
        <v>2</v>
      </c>
      <c r="B64" s="77"/>
      <c r="C64" s="80"/>
      <c r="D64" s="78" t="s">
        <v>30</v>
      </c>
      <c r="E64" s="79" t="s">
        <v>30</v>
      </c>
      <c r="F64" s="24">
        <v>83.88</v>
      </c>
      <c r="G64" s="16">
        <v>5053.01</v>
      </c>
      <c r="H64" s="22"/>
      <c r="I64" s="56">
        <v>223770.29</v>
      </c>
      <c r="J64" s="16">
        <v>1463490.3</v>
      </c>
      <c r="K64" s="21">
        <v>83.76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</row>
    <row r="65" spans="1:92" ht="15.75" customHeight="1" hidden="1">
      <c r="A65" s="7">
        <v>3</v>
      </c>
      <c r="B65" s="77"/>
      <c r="C65" s="80"/>
      <c r="D65" s="78" t="s">
        <v>30</v>
      </c>
      <c r="E65" s="79" t="s">
        <v>30</v>
      </c>
      <c r="F65" s="24">
        <v>82.9</v>
      </c>
      <c r="G65" s="16">
        <v>3691.1</v>
      </c>
      <c r="H65" s="22"/>
      <c r="I65" s="56">
        <v>236541</v>
      </c>
      <c r="J65" s="16">
        <v>788694.7</v>
      </c>
      <c r="K65" s="21">
        <v>85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</row>
    <row r="66" spans="1:92" ht="15.75" customHeight="1" hidden="1">
      <c r="A66" s="7">
        <v>4</v>
      </c>
      <c r="B66" s="77"/>
      <c r="C66" s="80"/>
      <c r="D66" s="78" t="s">
        <v>30</v>
      </c>
      <c r="E66" s="79" t="s">
        <v>30</v>
      </c>
      <c r="F66" s="24">
        <v>78.4</v>
      </c>
      <c r="G66" s="16">
        <v>2875.9</v>
      </c>
      <c r="H66" s="22"/>
      <c r="I66" s="56">
        <v>246360</v>
      </c>
      <c r="J66" s="16">
        <v>79599.5</v>
      </c>
      <c r="K66" s="21">
        <v>85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</row>
    <row r="67" spans="1:92" ht="15.75" customHeight="1" hidden="1">
      <c r="A67" s="7">
        <v>5</v>
      </c>
      <c r="B67" s="77"/>
      <c r="C67" s="80"/>
      <c r="D67" s="78" t="s">
        <v>30</v>
      </c>
      <c r="E67" s="79" t="s">
        <v>30</v>
      </c>
      <c r="F67" s="33" t="s">
        <v>26</v>
      </c>
      <c r="G67" s="16">
        <v>2884.5</v>
      </c>
      <c r="H67" s="22"/>
      <c r="I67" s="56">
        <v>252410</v>
      </c>
      <c r="J67" s="16" t="s">
        <v>27</v>
      </c>
      <c r="K67" s="20" t="s">
        <v>29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</row>
    <row r="68" spans="1:92" ht="15.75" customHeight="1" hidden="1">
      <c r="A68" s="7">
        <v>6</v>
      </c>
      <c r="B68" s="77"/>
      <c r="C68" s="80"/>
      <c r="D68" s="78" t="s">
        <v>30</v>
      </c>
      <c r="E68" s="79" t="s">
        <v>30</v>
      </c>
      <c r="F68" s="33" t="s">
        <v>26</v>
      </c>
      <c r="G68" s="16">
        <f>87.61+260.74+266.46+581.05+32.82+610.85+41.65+199.78+308.83+27.44+219.31+215.36+86.72+112.27+24.94+37.65+175.25+83.54+650.72+50.53+96.41+326.93</f>
        <v>4496.860000000001</v>
      </c>
      <c r="H68" s="22"/>
      <c r="I68" s="56">
        <v>261798.2</v>
      </c>
      <c r="J68" s="16" t="s">
        <v>27</v>
      </c>
      <c r="K68" s="20" t="s">
        <v>29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</row>
    <row r="69" spans="1:92" ht="15.75" customHeight="1" hidden="1">
      <c r="A69" s="7">
        <v>7</v>
      </c>
      <c r="B69" s="77"/>
      <c r="C69" s="80"/>
      <c r="D69" s="78" t="s">
        <v>30</v>
      </c>
      <c r="E69" s="79" t="s">
        <v>30</v>
      </c>
      <c r="F69" s="33" t="s">
        <v>26</v>
      </c>
      <c r="G69" s="16">
        <v>5206.9</v>
      </c>
      <c r="H69" s="22"/>
      <c r="I69" s="56">
        <v>256851</v>
      </c>
      <c r="J69" s="16" t="s">
        <v>27</v>
      </c>
      <c r="K69" s="20" t="s">
        <v>29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</row>
    <row r="70" spans="1:92" ht="15.75" customHeight="1" hidden="1">
      <c r="A70" s="7">
        <v>8</v>
      </c>
      <c r="B70" s="77"/>
      <c r="C70" s="80"/>
      <c r="D70" s="78" t="s">
        <v>30</v>
      </c>
      <c r="E70" s="79" t="s">
        <v>30</v>
      </c>
      <c r="F70" s="33">
        <v>79</v>
      </c>
      <c r="G70" s="16">
        <v>10998</v>
      </c>
      <c r="H70" s="22"/>
      <c r="I70" s="56">
        <v>274889</v>
      </c>
      <c r="J70" s="16">
        <v>1744687.1</v>
      </c>
      <c r="K70" s="21">
        <v>86.67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</row>
    <row r="71" spans="1:92" ht="15.75" customHeight="1" hidden="1">
      <c r="A71" s="7">
        <v>9</v>
      </c>
      <c r="B71" s="77"/>
      <c r="C71" s="80"/>
      <c r="D71" s="78" t="s">
        <v>30</v>
      </c>
      <c r="E71" s="79" t="s">
        <v>30</v>
      </c>
      <c r="F71" s="33">
        <v>82</v>
      </c>
      <c r="G71" s="16">
        <v>6790</v>
      </c>
      <c r="H71" s="22"/>
      <c r="I71" s="56">
        <v>276046</v>
      </c>
      <c r="J71" s="16">
        <v>1641088.7</v>
      </c>
      <c r="K71" s="26">
        <v>85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</row>
    <row r="72" spans="1:92" ht="15.75" customHeight="1" hidden="1">
      <c r="A72" s="7">
        <v>10</v>
      </c>
      <c r="B72" s="77"/>
      <c r="C72" s="80"/>
      <c r="D72" s="78" t="s">
        <v>30</v>
      </c>
      <c r="E72" s="79" t="s">
        <v>30</v>
      </c>
      <c r="F72" s="33" t="s">
        <v>26</v>
      </c>
      <c r="G72" s="16">
        <v>5089</v>
      </c>
      <c r="H72" s="22"/>
      <c r="I72" s="56">
        <v>279164</v>
      </c>
      <c r="J72" s="16">
        <v>282997.9</v>
      </c>
      <c r="K72" s="26">
        <v>85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</row>
    <row r="73" spans="1:92" ht="15.75" customHeight="1" hidden="1">
      <c r="A73" s="7">
        <v>11</v>
      </c>
      <c r="B73" s="77"/>
      <c r="C73" s="80"/>
      <c r="D73" s="78" t="s">
        <v>30</v>
      </c>
      <c r="E73" s="79" t="s">
        <v>30</v>
      </c>
      <c r="F73" s="33">
        <v>82</v>
      </c>
      <c r="G73" s="16">
        <v>7889.7</v>
      </c>
      <c r="H73" s="22"/>
      <c r="I73" s="56">
        <v>295503</v>
      </c>
      <c r="J73" s="16" t="s">
        <v>27</v>
      </c>
      <c r="K73" s="20" t="s">
        <v>29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</row>
    <row r="74" spans="1:92" ht="15.75" customHeight="1" hidden="1">
      <c r="A74" s="85" t="s">
        <v>40</v>
      </c>
      <c r="B74" s="77"/>
      <c r="C74" s="80"/>
      <c r="D74" s="78" t="s">
        <v>30</v>
      </c>
      <c r="E74" s="79" t="s">
        <v>30</v>
      </c>
      <c r="F74" s="33">
        <v>82</v>
      </c>
      <c r="G74" s="16">
        <f>216.94+186.96+183.3+291.78+281.69+126.98+135.26+298.97+59.23+266.52+275.51+346.96+244.33+60.99+172.57+245.45+512.25+219.53+4.4+179.49+337.77+301.69</f>
        <v>4948.569999999999</v>
      </c>
      <c r="H74" s="22"/>
      <c r="I74" s="56">
        <v>307466.4</v>
      </c>
      <c r="J74" s="16" t="s">
        <v>27</v>
      </c>
      <c r="K74" s="20" t="s">
        <v>29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</row>
    <row r="75" spans="1:92" ht="15.75" customHeight="1" hidden="1">
      <c r="A75" s="85" t="s">
        <v>34</v>
      </c>
      <c r="B75" s="77"/>
      <c r="C75" s="80"/>
      <c r="D75" s="78" t="s">
        <v>30</v>
      </c>
      <c r="E75" s="79" t="s">
        <v>30</v>
      </c>
      <c r="F75" s="33">
        <v>82</v>
      </c>
      <c r="G75" s="16">
        <v>8407</v>
      </c>
      <c r="H75" s="22"/>
      <c r="I75" s="56">
        <v>322848</v>
      </c>
      <c r="J75" s="16" t="s">
        <v>27</v>
      </c>
      <c r="K75" s="20" t="s">
        <v>29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</row>
    <row r="76" spans="1:92" ht="15.75" customHeight="1" hidden="1">
      <c r="A76" s="7">
        <v>2</v>
      </c>
      <c r="B76" s="77"/>
      <c r="C76" s="80"/>
      <c r="D76" s="78" t="s">
        <v>30</v>
      </c>
      <c r="E76" s="79" t="s">
        <v>30</v>
      </c>
      <c r="F76" s="33" t="s">
        <v>30</v>
      </c>
      <c r="G76" s="16">
        <v>5183</v>
      </c>
      <c r="H76" s="22"/>
      <c r="I76" s="56">
        <v>341881</v>
      </c>
      <c r="J76" s="16" t="s">
        <v>30</v>
      </c>
      <c r="K76" s="20" t="s">
        <v>30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</row>
    <row r="77" spans="1:92" s="37" customFormat="1" ht="15.75" customHeight="1" hidden="1">
      <c r="A77" s="7">
        <v>3</v>
      </c>
      <c r="B77" s="77"/>
      <c r="C77" s="80"/>
      <c r="D77" s="78" t="s">
        <v>30</v>
      </c>
      <c r="E77" s="79" t="s">
        <v>30</v>
      </c>
      <c r="F77" s="33" t="s">
        <v>30</v>
      </c>
      <c r="G77" s="16">
        <v>6117.8</v>
      </c>
      <c r="H77" s="22"/>
      <c r="I77" s="56">
        <v>360972.3</v>
      </c>
      <c r="J77" s="16" t="s">
        <v>30</v>
      </c>
      <c r="K77" s="20" t="s">
        <v>30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</row>
    <row r="78" spans="1:92" s="37" customFormat="1" ht="15.75" customHeight="1" hidden="1">
      <c r="A78" s="7">
        <v>4</v>
      </c>
      <c r="B78" s="77"/>
      <c r="C78" s="80"/>
      <c r="D78" s="78" t="s">
        <v>30</v>
      </c>
      <c r="E78" s="79" t="s">
        <v>30</v>
      </c>
      <c r="F78" s="33" t="s">
        <v>30</v>
      </c>
      <c r="G78" s="16">
        <v>8151.6</v>
      </c>
      <c r="H78" s="22"/>
      <c r="I78" s="56">
        <v>381278</v>
      </c>
      <c r="J78" s="16" t="s">
        <v>30</v>
      </c>
      <c r="K78" s="20" t="s">
        <v>30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</row>
    <row r="79" spans="1:92" s="37" customFormat="1" ht="15.75" customHeight="1" hidden="1">
      <c r="A79" s="7">
        <v>5</v>
      </c>
      <c r="B79" s="77"/>
      <c r="C79" s="80"/>
      <c r="D79" s="78" t="s">
        <v>30</v>
      </c>
      <c r="E79" s="79" t="s">
        <v>30</v>
      </c>
      <c r="F79" s="33" t="s">
        <v>30</v>
      </c>
      <c r="G79" s="16">
        <v>6156.4</v>
      </c>
      <c r="H79" s="22"/>
      <c r="I79" s="56">
        <v>396339</v>
      </c>
      <c r="J79" s="16">
        <v>1013400</v>
      </c>
      <c r="K79" s="26">
        <v>90.12</v>
      </c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</row>
    <row r="80" spans="1:92" s="37" customFormat="1" ht="15.75" customHeight="1" hidden="1">
      <c r="A80" s="7">
        <v>6</v>
      </c>
      <c r="B80" s="77"/>
      <c r="C80" s="80"/>
      <c r="D80" s="78" t="s">
        <v>30</v>
      </c>
      <c r="E80" s="79" t="s">
        <v>30</v>
      </c>
      <c r="F80" s="33">
        <v>80</v>
      </c>
      <c r="G80" s="16">
        <v>8840.4</v>
      </c>
      <c r="H80" s="22"/>
      <c r="I80" s="56">
        <v>414421.3</v>
      </c>
      <c r="J80" s="16">
        <v>439500</v>
      </c>
      <c r="K80" s="26">
        <v>90.9</v>
      </c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</row>
    <row r="81" spans="1:92" s="37" customFormat="1" ht="15.75" customHeight="1" hidden="1">
      <c r="A81" s="7">
        <v>7</v>
      </c>
      <c r="B81" s="77"/>
      <c r="C81" s="80"/>
      <c r="D81" s="78" t="s">
        <v>30</v>
      </c>
      <c r="E81" s="79" t="s">
        <v>30</v>
      </c>
      <c r="F81" s="33" t="s">
        <v>30</v>
      </c>
      <c r="G81" s="16">
        <v>7825.5</v>
      </c>
      <c r="H81" s="22"/>
      <c r="I81" s="56">
        <v>428099</v>
      </c>
      <c r="J81" s="16" t="s">
        <v>30</v>
      </c>
      <c r="K81" s="26" t="s">
        <v>30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</row>
    <row r="82" spans="1:92" s="37" customFormat="1" ht="15.75" customHeight="1" hidden="1">
      <c r="A82" s="7">
        <v>8</v>
      </c>
      <c r="B82" s="77"/>
      <c r="C82" s="80"/>
      <c r="D82" s="78" t="s">
        <v>30</v>
      </c>
      <c r="E82" s="79" t="s">
        <v>30</v>
      </c>
      <c r="F82" s="33" t="s">
        <v>30</v>
      </c>
      <c r="G82" s="16">
        <v>8922</v>
      </c>
      <c r="H82" s="22"/>
      <c r="I82" s="56">
        <v>436768</v>
      </c>
      <c r="J82" s="16">
        <v>631754.9</v>
      </c>
      <c r="K82" s="26">
        <v>75.52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</row>
    <row r="83" spans="1:92" s="37" customFormat="1" ht="15.75" customHeight="1" hidden="1">
      <c r="A83" s="7">
        <v>9</v>
      </c>
      <c r="B83" s="77"/>
      <c r="C83" s="80"/>
      <c r="D83" s="78" t="s">
        <v>30</v>
      </c>
      <c r="E83" s="79" t="s">
        <v>30</v>
      </c>
      <c r="F83" s="33" t="s">
        <v>30</v>
      </c>
      <c r="G83" s="16">
        <v>9221.3</v>
      </c>
      <c r="H83" s="22"/>
      <c r="I83" s="56">
        <v>455562</v>
      </c>
      <c r="J83" s="16">
        <v>501000</v>
      </c>
      <c r="K83" s="26">
        <v>71.2</v>
      </c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</row>
    <row r="84" spans="1:92" s="37" customFormat="1" ht="15.75" customHeight="1" hidden="1">
      <c r="A84" s="7">
        <v>10</v>
      </c>
      <c r="B84" s="77"/>
      <c r="C84" s="80"/>
      <c r="D84" s="78" t="s">
        <v>30</v>
      </c>
      <c r="E84" s="79" t="s">
        <v>30</v>
      </c>
      <c r="F84" s="33" t="s">
        <v>30</v>
      </c>
      <c r="G84" s="16">
        <v>6585.652962</v>
      </c>
      <c r="H84" s="22"/>
      <c r="I84" s="56">
        <v>468429.2</v>
      </c>
      <c r="J84" s="16">
        <v>276500</v>
      </c>
      <c r="K84" s="26">
        <v>75.12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</row>
    <row r="85" spans="1:92" s="37" customFormat="1" ht="15.75" customHeight="1" hidden="1">
      <c r="A85" s="7">
        <v>11</v>
      </c>
      <c r="B85" s="77"/>
      <c r="C85" s="80"/>
      <c r="D85" s="78" t="s">
        <v>30</v>
      </c>
      <c r="E85" s="79" t="s">
        <v>30</v>
      </c>
      <c r="F85" s="33" t="s">
        <v>30</v>
      </c>
      <c r="G85" s="16">
        <v>9968.9</v>
      </c>
      <c r="H85" s="22"/>
      <c r="I85" s="56">
        <v>498084</v>
      </c>
      <c r="J85" s="16" t="s">
        <v>30</v>
      </c>
      <c r="K85" s="26" t="s">
        <v>30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</row>
    <row r="86" spans="1:92" s="37" customFormat="1" ht="15.75" customHeight="1" hidden="1">
      <c r="A86" s="85" t="s">
        <v>41</v>
      </c>
      <c r="B86" s="77"/>
      <c r="C86" s="80"/>
      <c r="D86" s="78" t="s">
        <v>30</v>
      </c>
      <c r="E86" s="79" t="s">
        <v>30</v>
      </c>
      <c r="F86" s="23">
        <v>73</v>
      </c>
      <c r="G86" s="19">
        <v>11461.5</v>
      </c>
      <c r="H86" s="9"/>
      <c r="I86" s="57">
        <v>504213.6</v>
      </c>
      <c r="J86" s="19" t="s">
        <v>30</v>
      </c>
      <c r="K86" s="26" t="s">
        <v>30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</row>
    <row r="87" spans="1:92" s="37" customFormat="1" ht="15.75" customHeight="1" hidden="1">
      <c r="A87" s="107" t="s">
        <v>47</v>
      </c>
      <c r="B87" s="77"/>
      <c r="C87" s="80"/>
      <c r="D87" s="78" t="s">
        <v>30</v>
      </c>
      <c r="E87" s="79" t="s">
        <v>30</v>
      </c>
      <c r="F87" s="74">
        <v>32.5</v>
      </c>
      <c r="G87" s="89">
        <v>13392</v>
      </c>
      <c r="H87" s="45"/>
      <c r="I87" s="67">
        <v>517691</v>
      </c>
      <c r="J87" s="89">
        <v>683100</v>
      </c>
      <c r="K87" s="26">
        <v>17.3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</row>
    <row r="88" spans="1:92" s="37" customFormat="1" ht="15.75" customHeight="1" hidden="1">
      <c r="A88" s="46">
        <v>2</v>
      </c>
      <c r="B88" s="77"/>
      <c r="C88" s="80"/>
      <c r="D88" s="78" t="s">
        <v>30</v>
      </c>
      <c r="E88" s="79" t="s">
        <v>30</v>
      </c>
      <c r="F88" s="33">
        <f>+(55+52+52+52.39+52)/5</f>
        <v>52.678</v>
      </c>
      <c r="G88" s="16">
        <f>1221.3+1201.7+673.1+758+855+560.1+875.8+569.5+586.5+846.8+524.7+670.7+1141.1+1026.1+759.3+670.3+389.2+787.8+393.4+359.9+747.7</f>
        <v>15618.000000000002</v>
      </c>
      <c r="H88" s="22"/>
      <c r="I88" s="56">
        <f>+(561009+560951+560699+558632+561592+559814+559194+560495+562156+561943+564432+564501+561960+564321+564607+561888+561205+564798+567784+573595)/21</f>
        <v>535979.8095238095</v>
      </c>
      <c r="J88" s="16">
        <v>380000</v>
      </c>
      <c r="K88" s="26">
        <v>32.23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</row>
    <row r="89" spans="1:92" s="37" customFormat="1" ht="15.75" customHeight="1" hidden="1">
      <c r="A89" s="46">
        <v>3</v>
      </c>
      <c r="B89" s="77"/>
      <c r="C89" s="80"/>
      <c r="D89" s="78" t="s">
        <v>30</v>
      </c>
      <c r="E89" s="79" t="s">
        <v>30</v>
      </c>
      <c r="F89" s="33">
        <v>36.99</v>
      </c>
      <c r="G89" s="16">
        <f>1092.8+398.7+386.4+579+330+628.3+474.2+777+511.1+469.3+536.6+816.1+559.6+578.7+923.45776+331.7+190.3+488.5+516.5</f>
        <v>10588.25776</v>
      </c>
      <c r="H89" s="22"/>
      <c r="I89" s="56">
        <f>+(573355+572491+574879+576650+577823+579349+578341+577706+577319+579763+578690+579961+580395+583734+583360+581619+581974+584545+587449+587963)/20</f>
        <v>579868.3</v>
      </c>
      <c r="J89" s="16" t="s">
        <v>30</v>
      </c>
      <c r="K89" s="26" t="s">
        <v>30</v>
      </c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</row>
    <row r="90" spans="1:92" s="37" customFormat="1" ht="15.75" customHeight="1" hidden="1">
      <c r="A90" s="46">
        <v>4</v>
      </c>
      <c r="B90" s="77"/>
      <c r="C90" s="80"/>
      <c r="D90" s="78" t="s">
        <v>30</v>
      </c>
      <c r="E90" s="79" t="s">
        <v>30</v>
      </c>
      <c r="F90" s="33">
        <v>38</v>
      </c>
      <c r="G90" s="16">
        <f>256.3+299.9+267.4+719.2+489.8+424.2+422+208.7+419.9+671.3+690.8+676.1+276.6+365.2+247.7+672.9+512.9+771.1+243.2+655.7</f>
        <v>9290.900000000001</v>
      </c>
      <c r="H90" s="22"/>
      <c r="I90" s="56">
        <f>+(589879+590056+586721+588547+590251+590789+590684+591754+593266+593048+593034+596126+597100+599652+599758+600232+603535+606695+606667+610138)/20</f>
        <v>595896.6</v>
      </c>
      <c r="J90" s="16" t="s">
        <v>30</v>
      </c>
      <c r="K90" s="26" t="s">
        <v>30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</row>
    <row r="91" spans="1:92" s="37" customFormat="1" ht="15.75" customHeight="1" hidden="1">
      <c r="A91" s="46">
        <v>5</v>
      </c>
      <c r="B91" s="77"/>
      <c r="C91" s="80"/>
      <c r="D91" s="78" t="s">
        <v>30</v>
      </c>
      <c r="E91" s="79" t="s">
        <v>30</v>
      </c>
      <c r="F91" s="33">
        <v>44</v>
      </c>
      <c r="G91" s="16">
        <f>498.52+836.93+1014.3+323.04+437.22+672.25+431.22+528.09+535.07+921.65+329.55+322.01+792.82+1080+655.1+499.15+582.82+745.79+604.39+176.5+434.5</f>
        <v>12420.919999999998</v>
      </c>
      <c r="H91" s="22"/>
      <c r="I91" s="56">
        <f>+(610803+610722+616580+616606+615873+617127+616983+613745+614529+616062+614329+616800+621207+621104+621119+618525+619047+621422+618135+618135+613909+615512)/22</f>
        <v>616739.7272727273</v>
      </c>
      <c r="J91" s="16">
        <v>141000</v>
      </c>
      <c r="K91" s="26">
        <v>49.94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</row>
    <row r="92" spans="1:92" s="37" customFormat="1" ht="15.75" customHeight="1" hidden="1">
      <c r="A92" s="46">
        <v>6</v>
      </c>
      <c r="B92" s="77"/>
      <c r="C92" s="80"/>
      <c r="D92" s="78" t="s">
        <v>30</v>
      </c>
      <c r="E92" s="79" t="s">
        <v>30</v>
      </c>
      <c r="F92" s="33">
        <v>43.53</v>
      </c>
      <c r="G92" s="16">
        <v>12657</v>
      </c>
      <c r="H92" s="22"/>
      <c r="I92" s="56">
        <v>615734.5</v>
      </c>
      <c r="J92" s="16" t="s">
        <v>30</v>
      </c>
      <c r="K92" s="26" t="s">
        <v>30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</row>
    <row r="93" spans="1:92" s="37" customFormat="1" ht="15.75" customHeight="1" hidden="1">
      <c r="A93" s="46">
        <v>7</v>
      </c>
      <c r="B93" s="77"/>
      <c r="C93" s="80"/>
      <c r="D93" s="78" t="s">
        <v>30</v>
      </c>
      <c r="E93" s="79" t="s">
        <v>30</v>
      </c>
      <c r="F93" s="33">
        <v>26.32</v>
      </c>
      <c r="G93" s="16">
        <v>12734.2</v>
      </c>
      <c r="H93" s="22"/>
      <c r="I93" s="56">
        <v>627353.5</v>
      </c>
      <c r="J93" s="16">
        <v>260500</v>
      </c>
      <c r="K93" s="26">
        <v>16.25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</row>
    <row r="94" spans="1:92" s="37" customFormat="1" ht="15.75" customHeight="1" hidden="1">
      <c r="A94" s="46">
        <v>8</v>
      </c>
      <c r="B94" s="77"/>
      <c r="C94" s="80"/>
      <c r="D94" s="78" t="s">
        <v>30</v>
      </c>
      <c r="E94" s="79" t="s">
        <v>30</v>
      </c>
      <c r="F94" s="33">
        <v>47.38</v>
      </c>
      <c r="G94" s="16">
        <v>11411.7</v>
      </c>
      <c r="H94" s="22"/>
      <c r="I94" s="56">
        <v>645187.3</v>
      </c>
      <c r="J94" s="16" t="s">
        <v>48</v>
      </c>
      <c r="K94" s="26" t="s">
        <v>48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</row>
    <row r="95" spans="1:92" s="37" customFormat="1" ht="15.75" customHeight="1" hidden="1">
      <c r="A95" s="46">
        <v>9</v>
      </c>
      <c r="B95" s="77"/>
      <c r="C95" s="80"/>
      <c r="D95" s="78" t="s">
        <v>30</v>
      </c>
      <c r="E95" s="79" t="s">
        <v>30</v>
      </c>
      <c r="F95" s="33">
        <v>49.22</v>
      </c>
      <c r="G95" s="16">
        <v>13734.1</v>
      </c>
      <c r="H95" s="22"/>
      <c r="I95" s="56">
        <v>664540.5</v>
      </c>
      <c r="J95" s="16" t="s">
        <v>48</v>
      </c>
      <c r="K95" s="26" t="s">
        <v>48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</row>
    <row r="96" spans="1:92" s="37" customFormat="1" ht="15.75" customHeight="1" hidden="1">
      <c r="A96" s="46">
        <v>10</v>
      </c>
      <c r="B96" s="77"/>
      <c r="C96" s="80"/>
      <c r="D96" s="78" t="s">
        <v>30</v>
      </c>
      <c r="E96" s="79" t="s">
        <v>30</v>
      </c>
      <c r="F96" s="33" t="s">
        <v>30</v>
      </c>
      <c r="G96" s="16">
        <v>13114</v>
      </c>
      <c r="H96" s="22"/>
      <c r="I96" s="56">
        <v>676991.5</v>
      </c>
      <c r="J96" s="16" t="s">
        <v>48</v>
      </c>
      <c r="K96" s="20" t="s">
        <v>48</v>
      </c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</row>
    <row r="97" spans="1:92" s="37" customFormat="1" ht="15.75" customHeight="1" hidden="1">
      <c r="A97" s="46">
        <v>11</v>
      </c>
      <c r="B97" s="77"/>
      <c r="C97" s="80"/>
      <c r="D97" s="78" t="s">
        <v>30</v>
      </c>
      <c r="E97" s="79" t="s">
        <v>30</v>
      </c>
      <c r="F97" s="33">
        <v>42</v>
      </c>
      <c r="G97" s="16">
        <v>26465.04</v>
      </c>
      <c r="H97" s="22"/>
      <c r="I97" s="56">
        <v>683102</v>
      </c>
      <c r="J97" s="16">
        <v>4372400.1</v>
      </c>
      <c r="K97" s="20">
        <v>165.75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</row>
    <row r="98" spans="1:92" s="37" customFormat="1" ht="18" customHeight="1" hidden="1">
      <c r="A98" s="108" t="s">
        <v>42</v>
      </c>
      <c r="B98" s="77">
        <v>5</v>
      </c>
      <c r="C98" s="80">
        <v>110</v>
      </c>
      <c r="D98" s="78" t="s">
        <v>30</v>
      </c>
      <c r="E98" s="79" t="s">
        <v>30</v>
      </c>
      <c r="F98" s="33">
        <v>92.615</v>
      </c>
      <c r="G98" s="16">
        <v>26819.52</v>
      </c>
      <c r="H98" s="22"/>
      <c r="I98" s="56">
        <v>677828.5294117647</v>
      </c>
      <c r="J98" s="16">
        <v>181996.6</v>
      </c>
      <c r="K98" s="20">
        <v>185.1</v>
      </c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</row>
    <row r="99" spans="1:92" s="37" customFormat="1" ht="15.75" customHeight="1" hidden="1">
      <c r="A99" s="85" t="s">
        <v>49</v>
      </c>
      <c r="B99" s="77"/>
      <c r="C99" s="80"/>
      <c r="D99" s="78" t="s">
        <v>30</v>
      </c>
      <c r="E99" s="79" t="s">
        <v>30</v>
      </c>
      <c r="F99" s="33">
        <v>41.11625</v>
      </c>
      <c r="G99" s="16">
        <v>22954.32</v>
      </c>
      <c r="H99" s="22"/>
      <c r="I99" s="56">
        <v>670843.3181818182</v>
      </c>
      <c r="J99" s="16">
        <v>389221.5</v>
      </c>
      <c r="K99" s="26">
        <v>63.23</v>
      </c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</row>
    <row r="100" spans="1:92" ht="15.75" customHeight="1" hidden="1">
      <c r="A100" s="46">
        <v>2</v>
      </c>
      <c r="B100" s="77"/>
      <c r="C100" s="80"/>
      <c r="D100" s="78" t="s">
        <v>30</v>
      </c>
      <c r="E100" s="79" t="s">
        <v>30</v>
      </c>
      <c r="F100" s="33">
        <f>(40+42+47+49)/4</f>
        <v>44.5</v>
      </c>
      <c r="G100" s="16">
        <f>1827.94+925.41+917.52+830.49+1124.79+434.57+720.22+1285.84+1514.52+827.38+828.02+633.94+12137.7+9741.47+8554.28+771.14+2101.81+2186.32+1474.11+1847.72</f>
        <v>50685.189999999995</v>
      </c>
      <c r="H100" s="22"/>
      <c r="I100" s="56">
        <f>(672782+673236+674074+676230+677951+680256+680664+679758+679890+682776+685033+686417+685448+686367+961487+1108950+949950+982355+976697)/19</f>
        <v>763174.7894736842</v>
      </c>
      <c r="J100" s="16">
        <v>389221.5</v>
      </c>
      <c r="K100" s="26">
        <v>364.53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</row>
    <row r="101" spans="1:92" ht="15.75" customHeight="1" hidden="1">
      <c r="A101" s="46">
        <v>3</v>
      </c>
      <c r="B101" s="77"/>
      <c r="C101" s="80"/>
      <c r="D101" s="78" t="s">
        <v>30</v>
      </c>
      <c r="E101" s="79" t="s">
        <v>30</v>
      </c>
      <c r="F101" s="33">
        <f>(85+85.33+85+85+85+85+85+84+84+84+85+85+85)/13</f>
        <v>84.79461538461538</v>
      </c>
      <c r="G101" s="16">
        <f>2700.85+2537.24+200.36+2676.44+3378.4+2032.08+1579.66+1464.34+1161.35+1348.56+1372.75+1208.41+1028.69+1632.12+2317.2+1488.5+1620.96+1571.61</f>
        <v>31319.519999999997</v>
      </c>
      <c r="H101" s="22"/>
      <c r="I101" s="56">
        <f>(945073+910086+895555+938078+945135+999170+1029423+1011237+993989+977975+980495+986659+984082+982744+988685+997060+1015328+1093249)/18</f>
        <v>981890.1666666666</v>
      </c>
      <c r="J101" s="16">
        <v>17816499.1</v>
      </c>
      <c r="K101" s="26">
        <v>103.01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</row>
    <row r="102" spans="1:92" ht="15.75" customHeight="1" hidden="1">
      <c r="A102" s="46">
        <v>4</v>
      </c>
      <c r="B102" s="77"/>
      <c r="C102" s="80"/>
      <c r="D102" s="78" t="s">
        <v>30</v>
      </c>
      <c r="E102" s="79" t="s">
        <v>30</v>
      </c>
      <c r="F102" s="33">
        <f>(85+87+87+87+87+87+87+83+83+83.23+83+83+83+83.08+83+81+81)/17</f>
        <v>84.31235294117647</v>
      </c>
      <c r="G102" s="16">
        <f>(1341.02+1196.33+1029.61+1058.85+910.94+1458.89+1763.22+1806.47+1981+1563.9+1506.95+1326+1137.54+2414.82+1403.05+1865.42+1149.69+942.41+1256.43)</f>
        <v>27112.54</v>
      </c>
      <c r="H102" s="22"/>
      <c r="I102" s="56">
        <f>(1105646+1155491+1261315+1212125+1193084+1255531+1283582+1297743+1280271+1172290+1200054+1278836+1248470+1227951+1255683+1214888+1228532+1169989+1140201)/19</f>
        <v>1220088.5263157894</v>
      </c>
      <c r="J102" s="16" t="s">
        <v>30</v>
      </c>
      <c r="K102" s="26" t="s">
        <v>30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</row>
    <row r="103" spans="1:92" ht="15.75" customHeight="1" hidden="1">
      <c r="A103" s="46">
        <v>5</v>
      </c>
      <c r="B103" s="77"/>
      <c r="C103" s="80"/>
      <c r="D103" s="78" t="s">
        <v>30</v>
      </c>
      <c r="E103" s="79" t="s">
        <v>30</v>
      </c>
      <c r="F103" s="33">
        <f>(81+79+79+77+77+77+76.89+73+71+71+71+71.05+71+69+69+69+69+69+69)/19</f>
        <v>73.1021052631579</v>
      </c>
      <c r="G103" s="16">
        <f>1435.29+1632.19+1503.07+978.23+1326.57+1226.72+1616.13+1196.18+1183.56+781.64+938.88+1469.29+1128.27+965.39+823.57+671.29+883.1+813.55+771.52+121.47+682.8+1339.96+1033.88</f>
        <v>24522.55</v>
      </c>
      <c r="H103" s="22"/>
      <c r="I103" s="56">
        <f>(1136667+1162194+1177339+1152025+1139236+1149987+1149572+1140103+1152232+1150295+1146851+1134093+1116758+1112181+1116818+1108263+1114969+1116084+1109724+1125812+1144970+1176900)/22</f>
        <v>1137866.9545454546</v>
      </c>
      <c r="J103" s="16" t="s">
        <v>30</v>
      </c>
      <c r="K103" s="26" t="s">
        <v>30</v>
      </c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</row>
    <row r="104" spans="1:92" ht="15.75" customHeight="1" hidden="1">
      <c r="A104" s="46">
        <v>6</v>
      </c>
      <c r="B104" s="77"/>
      <c r="C104" s="80"/>
      <c r="D104" s="78" t="s">
        <v>30</v>
      </c>
      <c r="E104" s="79" t="s">
        <v>30</v>
      </c>
      <c r="F104" s="33">
        <f>(20*69+69.8)/21</f>
        <v>69.03809523809524</v>
      </c>
      <c r="G104" s="16">
        <f>534.88+464.19+533.16+911.29+725.77+459.79+842.63+508.54+517.04+1010.08+521.06+646.53+1197.39+1222.98+1109.87+709.34+684.74+1083.48+1011.73+832.17+623.57</f>
        <v>16150.23</v>
      </c>
      <c r="H104" s="22"/>
      <c r="I104" s="56">
        <f>(1151000+1139900+1170200+1186760+1169500+1168047+1182166+1197000+1224647+1231861+1195466+1224600+1228863+1241348+1282785+1275724+1294000+1290325+1251751+1268333+1251958)/21</f>
        <v>1220296.857142857</v>
      </c>
      <c r="J104" s="16" t="s">
        <v>30</v>
      </c>
      <c r="K104" s="26" t="s">
        <v>30</v>
      </c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</row>
    <row r="105" spans="1:92" ht="15.75" customHeight="1" hidden="1">
      <c r="A105" s="46">
        <v>7</v>
      </c>
      <c r="B105" s="77"/>
      <c r="C105" s="80"/>
      <c r="D105" s="78" t="s">
        <v>30</v>
      </c>
      <c r="E105" s="79" t="s">
        <v>30</v>
      </c>
      <c r="F105" s="33">
        <f>(69+69+69+69+69+69.09+69+69+69+69+71.45+71.98+71.03+71+71.01+71+71+71+71+71.04+71+71)/22</f>
        <v>70.16363636363637</v>
      </c>
      <c r="G105" s="16">
        <f>800.68+1363.37+102.57+973.9+804.39+550.99+350.91+1694.18+1097.39+862.15+586.59+520.86+1861.18+973.19+1162.7+1439.94+738.78+1820.44+1684.98+1348.75+806.74+811.93</f>
        <v>22356.610000000004</v>
      </c>
      <c r="H105" s="22"/>
      <c r="I105" s="56">
        <f>(1255857+1275545+1280732+1324280+1305588+1301980+1302425+1337857+1331247+1371392+1429241+1391223+1347410+1320643+1320969+1313790+1321347+1330117+1317045+1325842+1332000)/21</f>
        <v>1325549.0476190476</v>
      </c>
      <c r="J105" s="16" t="s">
        <v>30</v>
      </c>
      <c r="K105" s="26" t="s">
        <v>30</v>
      </c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</row>
    <row r="106" spans="1:92" ht="15.75" customHeight="1" hidden="1">
      <c r="A106" s="46">
        <v>8</v>
      </c>
      <c r="B106" s="77"/>
      <c r="C106" s="80"/>
      <c r="D106" s="78" t="s">
        <v>30</v>
      </c>
      <c r="E106" s="79" t="s">
        <v>30</v>
      </c>
      <c r="F106" s="33">
        <f>(71+71+71+68+68+68+68+68+68+68+68+68+68+68+68+68+68+68+65+65+65+65)/22</f>
        <v>67.86363636363636</v>
      </c>
      <c r="G106" s="16">
        <v>21022.75</v>
      </c>
      <c r="H106" s="22"/>
      <c r="I106" s="56">
        <v>1408054.7727272727</v>
      </c>
      <c r="J106" s="16" t="s">
        <v>30</v>
      </c>
      <c r="K106" s="26" t="s">
        <v>30</v>
      </c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</row>
    <row r="107" spans="1:92" ht="15.75" customHeight="1" hidden="1">
      <c r="A107" s="46">
        <v>9</v>
      </c>
      <c r="B107" s="77"/>
      <c r="C107" s="80"/>
      <c r="D107" s="78" t="s">
        <v>30</v>
      </c>
      <c r="E107" s="79" t="s">
        <v>30</v>
      </c>
      <c r="F107" s="33">
        <v>62.16</v>
      </c>
      <c r="G107" s="16">
        <v>13642.5</v>
      </c>
      <c r="H107" s="22"/>
      <c r="I107" s="56">
        <v>1489125</v>
      </c>
      <c r="J107" s="16">
        <v>28200</v>
      </c>
      <c r="K107" s="26">
        <v>62</v>
      </c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</row>
    <row r="108" spans="1:92" ht="15.75" customHeight="1" hidden="1">
      <c r="A108" s="46">
        <v>10</v>
      </c>
      <c r="B108" s="77"/>
      <c r="C108" s="80"/>
      <c r="D108" s="78" t="s">
        <v>30</v>
      </c>
      <c r="E108" s="79" t="s">
        <v>30</v>
      </c>
      <c r="F108" s="33">
        <v>62</v>
      </c>
      <c r="G108" s="16">
        <v>14023</v>
      </c>
      <c r="H108" s="22"/>
      <c r="I108" s="56">
        <v>1611367.5909090908</v>
      </c>
      <c r="J108" s="16">
        <v>159500</v>
      </c>
      <c r="K108" s="26">
        <v>62</v>
      </c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</row>
    <row r="109" spans="1:92" ht="15.75" customHeight="1" hidden="1">
      <c r="A109" s="46">
        <v>11</v>
      </c>
      <c r="B109" s="77"/>
      <c r="C109" s="80"/>
      <c r="D109" s="78" t="s">
        <v>30</v>
      </c>
      <c r="E109" s="79" t="s">
        <v>30</v>
      </c>
      <c r="F109" s="33">
        <v>62</v>
      </c>
      <c r="G109" s="16">
        <v>10549</v>
      </c>
      <c r="H109" s="22"/>
      <c r="I109" s="56">
        <v>1519648</v>
      </c>
      <c r="J109" s="16" t="s">
        <v>30</v>
      </c>
      <c r="K109" s="26" t="s">
        <v>30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</row>
    <row r="110" spans="1:92" ht="18" customHeight="1">
      <c r="A110" s="108" t="s">
        <v>43</v>
      </c>
      <c r="B110" s="77">
        <v>5</v>
      </c>
      <c r="C110" s="80">
        <v>62</v>
      </c>
      <c r="D110" s="78" t="s">
        <v>30</v>
      </c>
      <c r="E110" s="79" t="s">
        <v>30</v>
      </c>
      <c r="F110" s="33">
        <v>62</v>
      </c>
      <c r="G110" s="16">
        <v>10793.8</v>
      </c>
      <c r="H110" s="22"/>
      <c r="I110" s="56">
        <v>1454130.5</v>
      </c>
      <c r="J110" s="16">
        <v>569576.2</v>
      </c>
      <c r="K110" s="20">
        <v>53.5</v>
      </c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</row>
    <row r="111" spans="1:92" ht="15.75" customHeight="1" hidden="1">
      <c r="A111" s="46" t="s">
        <v>50</v>
      </c>
      <c r="B111" s="46"/>
      <c r="C111" s="70"/>
      <c r="D111" s="70"/>
      <c r="E111" s="76"/>
      <c r="F111" s="33">
        <v>62</v>
      </c>
      <c r="G111" s="16">
        <v>7447.4</v>
      </c>
      <c r="H111" s="22"/>
      <c r="I111" s="56">
        <v>1369064.2</v>
      </c>
      <c r="J111" s="16">
        <v>594200</v>
      </c>
      <c r="K111" s="26">
        <v>62</v>
      </c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</row>
    <row r="112" spans="1:92" ht="15.75" customHeight="1" hidden="1">
      <c r="A112" s="46">
        <v>2</v>
      </c>
      <c r="B112" s="46"/>
      <c r="C112" s="70"/>
      <c r="D112" s="70"/>
      <c r="E112" s="76"/>
      <c r="F112" s="33">
        <v>61.16</v>
      </c>
      <c r="G112" s="16">
        <v>6400.36</v>
      </c>
      <c r="H112" s="22"/>
      <c r="I112" s="56">
        <v>1351197</v>
      </c>
      <c r="J112" s="16">
        <v>707262</v>
      </c>
      <c r="K112" s="26">
        <v>57.33</v>
      </c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</row>
    <row r="113" spans="1:92" ht="15.75" customHeight="1" hidden="1">
      <c r="A113" s="46">
        <v>3</v>
      </c>
      <c r="B113" s="46"/>
      <c r="C113" s="70"/>
      <c r="D113" s="70"/>
      <c r="E113" s="76"/>
      <c r="F113" s="33">
        <f>(59+59+59+59+59+59+59+59+59+55+55+55+55+55+55+55+55+55+55+55+55)/21</f>
        <v>56.714285714285715</v>
      </c>
      <c r="G113" s="16">
        <f>322.38+169.92+303.16+249.34+313.68+221.01+269.4+308.64+136.94+230.64+552.36+417.3+603.52+224.83+437.64+222.93+166.71+183.24+386.26+244.19+475.72</f>
        <v>6439.81</v>
      </c>
      <c r="H113" s="22"/>
      <c r="I113" s="56">
        <f>(1387333+1382000+1366666+1364000+1365333+1359666+1354833+1348583+1348478+1363222+1351875+1350000+1340058+1344625+1345444+1335181+1341200+1338857)/18</f>
        <v>1354853</v>
      </c>
      <c r="J113" s="16">
        <v>190000</v>
      </c>
      <c r="K113" s="26">
        <v>51</v>
      </c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</row>
    <row r="114" spans="1:92" ht="15.75" customHeight="1" hidden="1">
      <c r="A114" s="46">
        <v>4</v>
      </c>
      <c r="B114" s="46"/>
      <c r="C114" s="70"/>
      <c r="D114" s="70"/>
      <c r="E114" s="76"/>
      <c r="F114" s="33">
        <f>(5*55+15*52+49)/21</f>
        <v>52.57142857142857</v>
      </c>
      <c r="G114" s="16">
        <f>275.08+324.12+359.4+395.86+296.67+286.54+493.27+531.7+151.31+322.88+327.45+318.51+524.11+223+605.27+307.21+198.97+292+452.14+307.45+449.95</f>
        <v>7442.89</v>
      </c>
      <c r="H114" s="22"/>
      <c r="I114" s="56">
        <f>(1347525+1335945+1331209+1318365+1309671+1315000+1309475+1305272+1295686+1304928+1295750+1307272+1305064+1305540+1321400+1337562+1360500+1353285+1336415)/19</f>
        <v>1320834.9473684211</v>
      </c>
      <c r="J114" s="16" t="s">
        <v>0</v>
      </c>
      <c r="K114" s="26" t="s">
        <v>0</v>
      </c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</row>
    <row r="115" spans="1:92" ht="15.75" customHeight="1" hidden="1">
      <c r="A115" s="46">
        <v>5</v>
      </c>
      <c r="B115" s="46"/>
      <c r="C115" s="70"/>
      <c r="D115" s="70"/>
      <c r="E115" s="76"/>
      <c r="F115" s="33">
        <v>49</v>
      </c>
      <c r="G115" s="16">
        <v>6354.37</v>
      </c>
      <c r="H115" s="22"/>
      <c r="I115" s="56">
        <v>1391467</v>
      </c>
      <c r="J115" s="16" t="s">
        <v>0</v>
      </c>
      <c r="K115" s="26" t="s">
        <v>0</v>
      </c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</row>
    <row r="116" spans="1:92" ht="15.75" customHeight="1" hidden="1">
      <c r="A116" s="46">
        <v>6</v>
      </c>
      <c r="B116" s="46"/>
      <c r="C116" s="70"/>
      <c r="D116" s="70"/>
      <c r="E116" s="76"/>
      <c r="F116" s="33">
        <v>49</v>
      </c>
      <c r="G116" s="16">
        <f>(250.12+262.3+181.37+219.23+407.52+159.04+268.69+199.77+270.55+366.02+292.18+621.53+362+531.58+700.84+249.99+255.03+286.7)</f>
        <v>5884.459999999999</v>
      </c>
      <c r="H116" s="22"/>
      <c r="I116" s="56">
        <f>(1462372+1443275+1439325+1452025+1470348+1472713+1550266+1589642+1563150+1573001+1578095+1631300)/12</f>
        <v>1518792.6666666667</v>
      </c>
      <c r="J116" s="16" t="s">
        <v>0</v>
      </c>
      <c r="K116" s="26" t="s">
        <v>0</v>
      </c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</row>
    <row r="117" spans="1:92" ht="15.75" customHeight="1" hidden="1">
      <c r="A117" s="46">
        <v>7</v>
      </c>
      <c r="B117" s="46"/>
      <c r="C117" s="70"/>
      <c r="D117" s="70"/>
      <c r="E117" s="76"/>
      <c r="F117" s="33">
        <f>(49+49+49+49+49+49.01+49+49+49+49+49+49+49+49+49+49.02+49+49.03+49+49+49+49+49)/23</f>
        <v>49.00260869565217</v>
      </c>
      <c r="G117" s="16">
        <f>90.26+403.17+293.4+39.73+426.95+160.28+442.59+190+198.74+504.5+94.45+319.51+270.13+389.68+345.91+145.14+556.59+143.55+264.38+460.29+184.56+242.51+137.08</f>
        <v>6303.4000000000015</v>
      </c>
      <c r="H117" s="22"/>
      <c r="I117" s="56">
        <f>(1573152+1584164+1634384+1613905+1613004+1654389+1664640+1655399+1644367+1655159+1677156+1678758+1659799+1647466+1661021+1670108+1669022+1679668+1678080+1676732+1688410+1681867+1688194)/23</f>
        <v>1654297.5652173914</v>
      </c>
      <c r="J117" s="16" t="s">
        <v>0</v>
      </c>
      <c r="K117" s="26" t="s">
        <v>0</v>
      </c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</row>
    <row r="118" spans="1:92" ht="15.75" customHeight="1" hidden="1">
      <c r="A118" s="46">
        <v>8</v>
      </c>
      <c r="B118" s="46"/>
      <c r="C118" s="70"/>
      <c r="D118" s="70"/>
      <c r="E118" s="76"/>
      <c r="F118" s="33">
        <f>(49+49+46+46.08+46+46+46.04+46+46+46+46+46+46+46+46+46+46+46.02+46+46+46)/21</f>
        <v>46.29238095238095</v>
      </c>
      <c r="G118" s="16">
        <f>225.11+247.96+65.99+254.05+195.89+325.95+302+119.09+363.4+186.84+229.78+300.92+193.93+198.32+84.69+292.55+260.94+88.16+456.64+104.8+612.7</f>
        <v>5109.710000000001</v>
      </c>
      <c r="H118" s="22"/>
      <c r="I118" s="56">
        <f>(1674611+1646854+1621071+1643253+1630178+1619494+1634040+1640411+1631985+1629673+1640580+1631178+1635991+1626371+1622770+1623101+1630101+1625978+1623784+1625818+1621347)/21</f>
        <v>1632313.761904762</v>
      </c>
      <c r="J118" s="16" t="s">
        <v>0</v>
      </c>
      <c r="K118" s="26" t="s">
        <v>0</v>
      </c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</row>
    <row r="119" spans="1:92" ht="15.75" customHeight="1" hidden="1">
      <c r="A119" s="46">
        <v>9</v>
      </c>
      <c r="B119" s="46"/>
      <c r="C119" s="70"/>
      <c r="D119" s="70"/>
      <c r="E119" s="76"/>
      <c r="F119" s="33">
        <f>+(46+46+46+46+46+46+46.08+46+46+46+46+46.01+46+46+46+46+46+46+46.05+46+46)/21</f>
        <v>46.00666666666667</v>
      </c>
      <c r="G119" s="16">
        <f>+(10.92+285.05+148.47+191.55+356.85+85.21+363.99+92.48+279.61+290.87+36.76+298.72+121.25+90.65+206.05+327.2+321.15+117.57+438.26+244.3+38.03)</f>
        <v>4344.9400000000005</v>
      </c>
      <c r="H119" s="22"/>
      <c r="I119" s="56">
        <f>+(1619322+1613052+1621630+1618838+1615499+1628878+1658823+1655534+1654164+1655645+1662657+1663169+1658863+1660010+1651792+1649062+1652359+1645591+1648260+1648669+1650456)/21</f>
        <v>1644393.9523809524</v>
      </c>
      <c r="J119" s="16" t="s">
        <v>0</v>
      </c>
      <c r="K119" s="26" t="s">
        <v>0</v>
      </c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</row>
    <row r="120" spans="1:92" ht="15.75" customHeight="1" hidden="1">
      <c r="A120" s="46">
        <v>10</v>
      </c>
      <c r="B120" s="46"/>
      <c r="C120" s="70"/>
      <c r="D120" s="70"/>
      <c r="E120" s="76"/>
      <c r="F120" s="33">
        <v>46</v>
      </c>
      <c r="G120" s="16">
        <f>98.99+209.98+201.2+168.62+39.8+452.87+72.08+309.14+239.57+127.42+197.67+128.45+265.18+174.06+115.84+202.76+303.29+333.59+348.14+117.08+113.81</f>
        <v>4219.54</v>
      </c>
      <c r="H120" s="22"/>
      <c r="I120" s="56">
        <f>+(1656140+1637168+1630489+1630720+1639294+1641576+1639249+1638939+1627467+1640977+1638634+1637593+1642306+1647354+1655108+1649756+1654404+1663304+1670323+1670160)/20</f>
        <v>1645548.05</v>
      </c>
      <c r="J120" s="16" t="s">
        <v>0</v>
      </c>
      <c r="K120" s="26" t="s">
        <v>0</v>
      </c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</row>
    <row r="121" spans="1:92" ht="15.75" customHeight="1" hidden="1">
      <c r="A121" s="46">
        <v>11</v>
      </c>
      <c r="B121" s="46"/>
      <c r="C121" s="70"/>
      <c r="D121" s="70"/>
      <c r="E121" s="76"/>
      <c r="F121" s="33">
        <f>+(46.01+46.01+46.01+46.01+46+46.01+44.01+44.01+44.01+44.01+44+44+44.01+44+44+44+44.01+44.01+44.01+44+44)/21</f>
        <v>44.577619047619045</v>
      </c>
      <c r="G121" s="16">
        <f>374.78+175.41+191.95+176.65+377.76+294.38+66.92+60.31+313.66+547.82+318.46+48.05+211.59+84.39+237.27+247.72+94.27+301.66+115.6+26.17+298.34</f>
        <v>4563.160000000001</v>
      </c>
      <c r="H121" s="22"/>
      <c r="I121" s="56">
        <f>+(1679169+1670018+1633776+1634462+1628203+1611765+1606963+1630409+1629376+1612051+1598626+1577667+1578791+1581174+1572025+1566689+1563286+1548707+1552624+1543474+1535339)/21</f>
        <v>1597837.8095238095</v>
      </c>
      <c r="J121" s="16" t="s">
        <v>0</v>
      </c>
      <c r="K121" s="26" t="s">
        <v>0</v>
      </c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</row>
    <row r="122" spans="1:92" ht="18" customHeight="1">
      <c r="A122" s="85" t="s">
        <v>44</v>
      </c>
      <c r="B122" s="77">
        <v>44</v>
      </c>
      <c r="C122" s="80">
        <v>51</v>
      </c>
      <c r="D122" s="80">
        <v>5</v>
      </c>
      <c r="E122" s="82">
        <v>61</v>
      </c>
      <c r="F122" s="33">
        <v>44</v>
      </c>
      <c r="G122" s="16">
        <f>+(118.86+661.09+220.5+41.47+61.73+142.17+427.03+136.48+239.57+35.04+172.64+244.29+49.58+188.75+72.93+138.82+274.24+138.07+267.78)</f>
        <v>3631.04</v>
      </c>
      <c r="H122" s="22"/>
      <c r="I122" s="56">
        <f>+(1512671+1523794+1557915+1550943+1548075+1554304+1546808+1535229+1558428+1593510+1622282+1628022+1642126+1669897+1649711+1633732+1651207+1634501+1639745)/20</f>
        <v>1512645</v>
      </c>
      <c r="J122" s="16">
        <v>651484.6</v>
      </c>
      <c r="K122" s="20">
        <v>41.5</v>
      </c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</row>
    <row r="123" spans="1:92" ht="15.75" customHeight="1" hidden="1">
      <c r="A123" s="46" t="s">
        <v>51</v>
      </c>
      <c r="B123" s="77">
        <v>44</v>
      </c>
      <c r="C123" s="80">
        <v>51</v>
      </c>
      <c r="D123" s="80">
        <v>5</v>
      </c>
      <c r="E123" s="82">
        <v>61</v>
      </c>
      <c r="F123" s="33">
        <f>+(44+44+44+44+44+44+44+44+44+44+44+44+44+44+44+44+44+44+44+44)/20</f>
        <v>44</v>
      </c>
      <c r="G123" s="16">
        <f>242.03+132.62+4.06+404.78+142.33+111.31+356.8+34.34+404.62+217.14+201.14+280.78+15.4+148.18+59.42+22.78+419.2+82.84+362.6+99.5</f>
        <v>3741.87</v>
      </c>
      <c r="H123" s="22"/>
      <c r="I123" s="56">
        <f>+(1648438+1646665+1652831+1669700+1674371+1669673+1656629+1656239+1657255+1660199+1655480+1654861+1659116+1652463+1661644+1657929+1653268+1655611+1652815+1651235)/20</f>
        <v>1657321.1</v>
      </c>
      <c r="J123" s="16">
        <v>672106.4090909092</v>
      </c>
      <c r="K123" s="20">
        <v>41.50292526020762</v>
      </c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</row>
    <row r="124" spans="1:92" ht="15.75" customHeight="1" hidden="1">
      <c r="A124" s="46">
        <v>2</v>
      </c>
      <c r="B124" s="77">
        <v>44</v>
      </c>
      <c r="C124" s="80">
        <v>51</v>
      </c>
      <c r="D124" s="80">
        <v>5</v>
      </c>
      <c r="E124" s="82">
        <v>61</v>
      </c>
      <c r="F124" s="33">
        <f>+(44+44+44+44+44+44+44+44+44+44+44+44+44+44+44)/15</f>
        <v>44</v>
      </c>
      <c r="G124" s="16">
        <f>25.02+195.31+86.69+461.95+887.03+43.1+189.83+260.92+195.34+311.46+116.74+38.94+454.57+53.85+293.74+125.11</f>
        <v>3739.6</v>
      </c>
      <c r="H124" s="22"/>
      <c r="I124" s="56">
        <f>+(1629796+1631197+1640649+1627577+1625260+1625260+1634501+1618971+1618640+1625247+1617209+1613197+1612480+1613384+1602796+1588579)/16</f>
        <v>1620296.4375</v>
      </c>
      <c r="J124" s="16">
        <v>626879.6666666666</v>
      </c>
      <c r="K124" s="20">
        <v>41.59190333633733</v>
      </c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</row>
    <row r="125" spans="1:92" ht="15.75" customHeight="1" hidden="1">
      <c r="A125" s="46">
        <v>3</v>
      </c>
      <c r="B125" s="77">
        <v>44</v>
      </c>
      <c r="C125" s="80">
        <v>51</v>
      </c>
      <c r="D125" s="80">
        <v>5</v>
      </c>
      <c r="E125" s="82">
        <v>56</v>
      </c>
      <c r="F125" s="33">
        <v>44</v>
      </c>
      <c r="G125" s="16">
        <v>5235.85</v>
      </c>
      <c r="H125" s="22"/>
      <c r="I125" s="56">
        <v>1660696</v>
      </c>
      <c r="J125" s="16">
        <v>662996.2380952381</v>
      </c>
      <c r="K125" s="20">
        <v>41.52056550169474</v>
      </c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</row>
    <row r="126" spans="1:92" ht="15.75" customHeight="1" hidden="1">
      <c r="A126" s="46">
        <v>4</v>
      </c>
      <c r="B126" s="77">
        <v>41</v>
      </c>
      <c r="C126" s="80">
        <v>48</v>
      </c>
      <c r="D126" s="80">
        <v>5</v>
      </c>
      <c r="E126" s="82">
        <v>53</v>
      </c>
      <c r="F126" s="33">
        <v>43.43</v>
      </c>
      <c r="G126" s="16">
        <v>5158.166</v>
      </c>
      <c r="H126" s="22"/>
      <c r="I126" s="56">
        <v>1620872.9</v>
      </c>
      <c r="J126" s="16">
        <v>762823.9523809523</v>
      </c>
      <c r="K126" s="20">
        <v>41.366439377087296</v>
      </c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</row>
    <row r="127" spans="1:92" ht="15.75" customHeight="1" hidden="1">
      <c r="A127" s="46">
        <v>5</v>
      </c>
      <c r="B127" s="77">
        <v>41</v>
      </c>
      <c r="C127" s="80">
        <v>48</v>
      </c>
      <c r="D127" s="80">
        <v>5</v>
      </c>
      <c r="E127" s="82">
        <v>53</v>
      </c>
      <c r="F127" s="33">
        <v>41</v>
      </c>
      <c r="G127" s="16">
        <v>4174.8</v>
      </c>
      <c r="H127" s="22"/>
      <c r="I127" s="56">
        <v>1483353</v>
      </c>
      <c r="J127" s="16">
        <v>732365.1904761904</v>
      </c>
      <c r="K127" s="20">
        <v>40.17237305686991</v>
      </c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</row>
    <row r="128" spans="1:92" ht="15.75" customHeight="1" hidden="1">
      <c r="A128" s="46">
        <v>6</v>
      </c>
      <c r="B128" s="77">
        <v>38</v>
      </c>
      <c r="C128" s="80">
        <v>45</v>
      </c>
      <c r="D128" s="80">
        <v>5</v>
      </c>
      <c r="E128" s="82">
        <v>50</v>
      </c>
      <c r="F128" s="33">
        <v>38.3</v>
      </c>
      <c r="G128" s="16">
        <v>4370.94</v>
      </c>
      <c r="H128" s="22"/>
      <c r="I128" s="56">
        <v>1418523</v>
      </c>
      <c r="J128" s="16">
        <v>586943.4285714285</v>
      </c>
      <c r="K128" s="20">
        <v>37.563911853187555</v>
      </c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</row>
    <row r="129" spans="1:92" ht="15.75" customHeight="1" hidden="1">
      <c r="A129" s="46">
        <v>7</v>
      </c>
      <c r="B129" s="77">
        <v>35</v>
      </c>
      <c r="C129" s="80">
        <v>41</v>
      </c>
      <c r="D129" s="80">
        <v>5</v>
      </c>
      <c r="E129" s="82">
        <v>46</v>
      </c>
      <c r="F129" s="33">
        <v>36.43</v>
      </c>
      <c r="G129" s="16">
        <v>5577.11</v>
      </c>
      <c r="H129" s="22"/>
      <c r="I129" s="56">
        <v>1397289</v>
      </c>
      <c r="J129" s="16">
        <v>449000</v>
      </c>
      <c r="K129" s="20">
        <v>35.982350161910524</v>
      </c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</row>
    <row r="130" spans="1:92" ht="15.75" customHeight="1" hidden="1">
      <c r="A130" s="46">
        <v>8</v>
      </c>
      <c r="B130" s="77">
        <v>32</v>
      </c>
      <c r="C130" s="80">
        <v>38</v>
      </c>
      <c r="D130" s="80">
        <v>5</v>
      </c>
      <c r="E130" s="82">
        <v>43</v>
      </c>
      <c r="F130" s="33">
        <v>32.4</v>
      </c>
      <c r="G130" s="16">
        <v>5258.33</v>
      </c>
      <c r="H130" s="22"/>
      <c r="I130" s="56">
        <v>1396197</v>
      </c>
      <c r="J130" s="16">
        <v>395672.5714285714</v>
      </c>
      <c r="K130" s="20">
        <v>31.396487053316505</v>
      </c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</row>
    <row r="131" spans="1:92" ht="15.75" customHeight="1" hidden="1">
      <c r="A131" s="46">
        <v>9</v>
      </c>
      <c r="B131" s="77">
        <v>29</v>
      </c>
      <c r="C131" s="80">
        <v>35</v>
      </c>
      <c r="D131" s="80">
        <v>5</v>
      </c>
      <c r="E131" s="82">
        <v>40</v>
      </c>
      <c r="F131" s="33">
        <v>30.772727272727273</v>
      </c>
      <c r="G131" s="16">
        <v>5605.57</v>
      </c>
      <c r="H131" s="22"/>
      <c r="I131" s="56">
        <v>1372345.409</v>
      </c>
      <c r="J131" s="16">
        <v>413037.09090909094</v>
      </c>
      <c r="K131" s="20">
        <v>29.554760343483633</v>
      </c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</row>
    <row r="132" spans="1:92" ht="15.75" customHeight="1" hidden="1">
      <c r="A132" s="46">
        <v>10</v>
      </c>
      <c r="B132" s="77">
        <v>26</v>
      </c>
      <c r="C132" s="80">
        <v>31</v>
      </c>
      <c r="D132" s="80">
        <v>5</v>
      </c>
      <c r="E132" s="82">
        <v>36</v>
      </c>
      <c r="F132" s="33">
        <v>27.363636363636363</v>
      </c>
      <c r="G132" s="16">
        <v>6284.6</v>
      </c>
      <c r="H132" s="22"/>
      <c r="I132" s="56">
        <v>1421271</v>
      </c>
      <c r="J132" s="16">
        <v>391459.27272727276</v>
      </c>
      <c r="K132" s="20">
        <v>26.305587101038345</v>
      </c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</row>
    <row r="133" spans="1:92" ht="15.75" customHeight="1" hidden="1">
      <c r="A133" s="46">
        <v>11</v>
      </c>
      <c r="B133" s="77">
        <v>26</v>
      </c>
      <c r="C133" s="80">
        <v>31</v>
      </c>
      <c r="D133" s="80">
        <v>5</v>
      </c>
      <c r="E133" s="82">
        <v>36</v>
      </c>
      <c r="F133" s="33">
        <v>26</v>
      </c>
      <c r="G133" s="119">
        <v>2637.02</v>
      </c>
      <c r="H133" s="22"/>
      <c r="I133" s="56">
        <v>1472454.0588235294</v>
      </c>
      <c r="J133" s="16">
        <v>416086.28571428574</v>
      </c>
      <c r="K133" s="20">
        <v>25.10598755862938</v>
      </c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</row>
    <row r="134" spans="1:92" ht="18" customHeight="1">
      <c r="A134" s="85" t="s">
        <v>45</v>
      </c>
      <c r="B134" s="77">
        <v>26</v>
      </c>
      <c r="C134" s="80">
        <v>31</v>
      </c>
      <c r="D134" s="80">
        <v>5</v>
      </c>
      <c r="E134" s="82">
        <v>36</v>
      </c>
      <c r="F134" s="33">
        <v>26</v>
      </c>
      <c r="G134" s="119">
        <v>2952.89</v>
      </c>
      <c r="H134" s="22"/>
      <c r="I134" s="56">
        <v>1429116.3043478262</v>
      </c>
      <c r="J134" s="16">
        <v>392143.7826086956</v>
      </c>
      <c r="K134" s="20">
        <v>25.28</v>
      </c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</row>
    <row r="135" spans="1:92" ht="15.75" customHeight="1" hidden="1">
      <c r="A135" s="46" t="s">
        <v>52</v>
      </c>
      <c r="B135" s="77">
        <v>26</v>
      </c>
      <c r="C135" s="80">
        <v>31</v>
      </c>
      <c r="D135" s="80">
        <v>5</v>
      </c>
      <c r="E135" s="82">
        <v>36</v>
      </c>
      <c r="F135" s="33">
        <v>26</v>
      </c>
      <c r="G135" s="16">
        <v>3170.8</v>
      </c>
      <c r="H135" s="22"/>
      <c r="I135" s="56">
        <v>1343420.761904762</v>
      </c>
      <c r="J135" s="16">
        <v>407761.1</v>
      </c>
      <c r="K135" s="20">
        <v>25.53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</row>
    <row r="136" spans="1:92" ht="15.75" customHeight="1" hidden="1">
      <c r="A136" s="46">
        <v>2</v>
      </c>
      <c r="B136" s="77">
        <v>24</v>
      </c>
      <c r="C136" s="80">
        <v>29</v>
      </c>
      <c r="D136" s="80">
        <v>5</v>
      </c>
      <c r="E136" s="82">
        <v>34</v>
      </c>
      <c r="F136" s="33">
        <v>24</v>
      </c>
      <c r="G136" s="16">
        <v>4087.25</v>
      </c>
      <c r="H136" s="22"/>
      <c r="I136" s="56">
        <v>1322906.4117647058</v>
      </c>
      <c r="J136" s="16">
        <v>421908.64705882355</v>
      </c>
      <c r="K136" s="20">
        <v>23.1</v>
      </c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</row>
    <row r="137" spans="1:92" ht="15.75" customHeight="1" hidden="1">
      <c r="A137" s="46">
        <v>3</v>
      </c>
      <c r="B137" s="77">
        <v>22</v>
      </c>
      <c r="C137" s="80">
        <v>27</v>
      </c>
      <c r="D137" s="80">
        <v>5</v>
      </c>
      <c r="E137" s="82">
        <v>32</v>
      </c>
      <c r="F137" s="33">
        <v>23.04</v>
      </c>
      <c r="G137" s="16">
        <v>5062.47</v>
      </c>
      <c r="H137" s="22"/>
      <c r="I137" s="56">
        <v>1315857.7</v>
      </c>
      <c r="J137" s="16">
        <v>391161.5652173912</v>
      </c>
      <c r="K137" s="20">
        <v>22.320195068170754</v>
      </c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</row>
    <row r="138" spans="1:92" ht="15.75" customHeight="1" hidden="1">
      <c r="A138" s="46">
        <v>4</v>
      </c>
      <c r="B138" s="77">
        <v>22</v>
      </c>
      <c r="C138" s="80">
        <v>27</v>
      </c>
      <c r="D138" s="80">
        <v>5</v>
      </c>
      <c r="E138" s="82">
        <v>32</v>
      </c>
      <c r="F138" s="33">
        <v>22</v>
      </c>
      <c r="G138" s="16">
        <v>4869.4</v>
      </c>
      <c r="H138" s="22"/>
      <c r="I138" s="56">
        <v>1351365.0952380951</v>
      </c>
      <c r="J138" s="16">
        <v>433403.47619047615</v>
      </c>
      <c r="K138" s="20">
        <v>21.112835989662603</v>
      </c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</row>
    <row r="139" spans="1:92" ht="15.75" customHeight="1" hidden="1">
      <c r="A139" s="46">
        <v>5</v>
      </c>
      <c r="B139" s="77">
        <v>22</v>
      </c>
      <c r="C139" s="80">
        <v>27</v>
      </c>
      <c r="D139" s="80">
        <v>5</v>
      </c>
      <c r="E139" s="82">
        <v>32</v>
      </c>
      <c r="F139" s="33">
        <v>22</v>
      </c>
      <c r="G139" s="16">
        <v>2028.95</v>
      </c>
      <c r="H139" s="22"/>
      <c r="I139" s="56">
        <v>1501342.2</v>
      </c>
      <c r="J139" s="16">
        <v>502402.85</v>
      </c>
      <c r="K139" s="20">
        <v>21.15877718658711</v>
      </c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</row>
    <row r="140" spans="1:92" ht="15.75" customHeight="1" hidden="1">
      <c r="A140" s="46">
        <v>6</v>
      </c>
      <c r="B140" s="77">
        <v>22</v>
      </c>
      <c r="C140" s="80">
        <v>27</v>
      </c>
      <c r="D140" s="80">
        <v>5</v>
      </c>
      <c r="E140" s="82">
        <v>32</v>
      </c>
      <c r="F140" s="33">
        <v>22</v>
      </c>
      <c r="G140" s="16">
        <v>2284.19</v>
      </c>
      <c r="H140" s="22"/>
      <c r="I140" s="56">
        <v>1488745.1818181819</v>
      </c>
      <c r="J140" s="16">
        <v>449090.5454545455</v>
      </c>
      <c r="K140" s="20">
        <v>21.33</v>
      </c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</row>
    <row r="141" spans="1:92" ht="15.75" customHeight="1" hidden="1">
      <c r="A141" s="46">
        <v>7</v>
      </c>
      <c r="B141" s="77">
        <v>22</v>
      </c>
      <c r="C141" s="80">
        <v>27</v>
      </c>
      <c r="D141" s="80">
        <v>5</v>
      </c>
      <c r="E141" s="82">
        <v>32</v>
      </c>
      <c r="F141" s="33">
        <v>22</v>
      </c>
      <c r="G141" s="16">
        <v>2479.91</v>
      </c>
      <c r="H141" s="22"/>
      <c r="I141" s="56">
        <v>1448239.0454545454</v>
      </c>
      <c r="J141" s="16">
        <v>402160.40909090906</v>
      </c>
      <c r="K141" s="20">
        <v>21.42253344585566</v>
      </c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</row>
    <row r="142" spans="1:92" ht="15.75" customHeight="1" hidden="1">
      <c r="A142" s="46">
        <v>8</v>
      </c>
      <c r="B142" s="77">
        <v>22</v>
      </c>
      <c r="C142" s="80">
        <v>27</v>
      </c>
      <c r="D142" s="80">
        <v>5</v>
      </c>
      <c r="E142" s="82">
        <v>32</v>
      </c>
      <c r="F142" s="33">
        <v>22</v>
      </c>
      <c r="G142" s="16">
        <v>2368.79</v>
      </c>
      <c r="H142" s="22"/>
      <c r="I142" s="56">
        <v>1467366.9047619049</v>
      </c>
      <c r="J142" s="16">
        <v>240079.52380952382</v>
      </c>
      <c r="K142" s="20">
        <v>21.731630819177102</v>
      </c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</row>
    <row r="143" spans="1:92" ht="15.75" customHeight="1" hidden="1">
      <c r="A143" s="46">
        <v>9</v>
      </c>
      <c r="B143" s="77">
        <v>20</v>
      </c>
      <c r="C143" s="80">
        <v>24</v>
      </c>
      <c r="D143" s="80">
        <v>5</v>
      </c>
      <c r="E143" s="82">
        <v>28</v>
      </c>
      <c r="F143" s="33">
        <v>22</v>
      </c>
      <c r="G143" s="16">
        <v>3063.88</v>
      </c>
      <c r="H143" s="22"/>
      <c r="I143" s="56">
        <v>1498343.3636363635</v>
      </c>
      <c r="J143" s="16">
        <v>237857.04545454547</v>
      </c>
      <c r="K143" s="20">
        <v>20.420387834837626</v>
      </c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</row>
    <row r="144" spans="1:92" ht="15.75" customHeight="1" hidden="1">
      <c r="A144" s="46">
        <v>10</v>
      </c>
      <c r="B144" s="77">
        <v>20</v>
      </c>
      <c r="C144" s="80">
        <v>24</v>
      </c>
      <c r="D144" s="80">
        <v>5</v>
      </c>
      <c r="E144" s="82">
        <v>28</v>
      </c>
      <c r="F144" s="33">
        <v>20</v>
      </c>
      <c r="G144" s="16">
        <v>2692.16</v>
      </c>
      <c r="H144" s="22"/>
      <c r="I144" s="56">
        <v>1484780.65</v>
      </c>
      <c r="J144" s="16">
        <v>272279</v>
      </c>
      <c r="K144" s="20">
        <v>19.80473367955876</v>
      </c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</row>
    <row r="145" spans="1:92" ht="15.75" customHeight="1" hidden="1">
      <c r="A145" s="46">
        <v>11</v>
      </c>
      <c r="B145" s="77">
        <v>20</v>
      </c>
      <c r="C145" s="80">
        <v>24</v>
      </c>
      <c r="D145" s="80">
        <v>5</v>
      </c>
      <c r="E145" s="82">
        <v>28</v>
      </c>
      <c r="F145" s="33">
        <v>20</v>
      </c>
      <c r="G145" s="16">
        <v>1827.99</v>
      </c>
      <c r="H145" s="22"/>
      <c r="I145" s="56">
        <v>1445423.35</v>
      </c>
      <c r="J145" s="16">
        <v>379315.15</v>
      </c>
      <c r="K145" s="20">
        <v>19.422095228073818</v>
      </c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</row>
    <row r="146" spans="1:92" ht="17.25" customHeight="1">
      <c r="A146" s="85" t="s">
        <v>46</v>
      </c>
      <c r="B146" s="77">
        <v>18</v>
      </c>
      <c r="C146" s="80">
        <v>22</v>
      </c>
      <c r="D146" s="80">
        <v>5</v>
      </c>
      <c r="E146" s="82">
        <v>26</v>
      </c>
      <c r="F146" s="33">
        <v>19.6</v>
      </c>
      <c r="G146" s="16">
        <v>2428.86</v>
      </c>
      <c r="H146" s="22"/>
      <c r="I146" s="56">
        <v>1393340.043478261</v>
      </c>
      <c r="J146" s="16">
        <v>425435.61904761905</v>
      </c>
      <c r="K146" s="20">
        <v>18.844678787970086</v>
      </c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</row>
    <row r="147" spans="1:92" ht="15.75" customHeight="1" hidden="1">
      <c r="A147" s="46" t="s">
        <v>53</v>
      </c>
      <c r="B147" s="77">
        <v>17</v>
      </c>
      <c r="C147" s="80">
        <v>21</v>
      </c>
      <c r="D147" s="80">
        <v>5</v>
      </c>
      <c r="E147" s="82">
        <v>25</v>
      </c>
      <c r="F147" s="33">
        <v>17</v>
      </c>
      <c r="G147" s="16">
        <v>2618.91</v>
      </c>
      <c r="H147" s="22"/>
      <c r="I147" s="63">
        <v>1.3500421052631584</v>
      </c>
      <c r="J147" s="16">
        <v>383273.8947368421</v>
      </c>
      <c r="K147" s="20">
        <v>16.905205224237523</v>
      </c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</row>
    <row r="148" spans="1:92" ht="15.75" customHeight="1" hidden="1">
      <c r="A148" s="46">
        <v>2</v>
      </c>
      <c r="B148" s="77">
        <v>16.5</v>
      </c>
      <c r="C148" s="80">
        <v>20.5</v>
      </c>
      <c r="D148" s="80">
        <v>5</v>
      </c>
      <c r="E148" s="82">
        <v>24.5</v>
      </c>
      <c r="F148" s="33">
        <v>16.7</v>
      </c>
      <c r="G148" s="16">
        <v>2554.52</v>
      </c>
      <c r="H148" s="22"/>
      <c r="I148" s="63">
        <v>1.310155</v>
      </c>
      <c r="J148" s="16">
        <v>448706.1</v>
      </c>
      <c r="K148" s="20">
        <v>16.28976045922835</v>
      </c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</row>
    <row r="149" spans="1:92" ht="15.75" customHeight="1" hidden="1">
      <c r="A149" s="46">
        <v>3</v>
      </c>
      <c r="B149" s="77">
        <v>15.5</v>
      </c>
      <c r="C149" s="80">
        <v>19.5</v>
      </c>
      <c r="D149" s="80">
        <v>5</v>
      </c>
      <c r="E149" s="82">
        <v>23.5</v>
      </c>
      <c r="F149" s="33">
        <v>15.8</v>
      </c>
      <c r="G149" s="16">
        <v>3129.1</v>
      </c>
      <c r="H149" s="22"/>
      <c r="I149" s="63">
        <v>1.3049565217391303</v>
      </c>
      <c r="J149" s="16">
        <v>349339.47826086957</v>
      </c>
      <c r="K149" s="20">
        <v>15.324165235532838</v>
      </c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</row>
    <row r="150" spans="1:92" ht="15.75" customHeight="1" hidden="1">
      <c r="A150" s="46">
        <v>4</v>
      </c>
      <c r="B150" s="77">
        <v>15</v>
      </c>
      <c r="C150" s="80">
        <v>19</v>
      </c>
      <c r="D150" s="80">
        <v>5</v>
      </c>
      <c r="E150" s="82">
        <v>23</v>
      </c>
      <c r="F150" s="33">
        <v>15.2</v>
      </c>
      <c r="G150" s="16">
        <v>2976.44</v>
      </c>
      <c r="H150" s="22"/>
      <c r="I150" s="63">
        <v>1.35351428571429</v>
      </c>
      <c r="J150" s="16">
        <v>339538.28571428574</v>
      </c>
      <c r="K150" s="20">
        <v>14.421864110368873</v>
      </c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</row>
    <row r="151" spans="1:92" ht="15.75" customHeight="1" hidden="1">
      <c r="A151" s="46">
        <v>5</v>
      </c>
      <c r="B151" s="77">
        <v>14.5</v>
      </c>
      <c r="C151" s="80">
        <v>18.5</v>
      </c>
      <c r="D151" s="80">
        <v>5</v>
      </c>
      <c r="E151" s="82">
        <v>22.5</v>
      </c>
      <c r="F151" s="33">
        <v>14.6</v>
      </c>
      <c r="G151" s="16">
        <v>2645.45</v>
      </c>
      <c r="H151" s="22"/>
      <c r="I151" s="63">
        <v>1.3636</v>
      </c>
      <c r="J151" s="16">
        <v>368486.61904761905</v>
      </c>
      <c r="K151" s="20">
        <v>14.226384041216098</v>
      </c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</row>
    <row r="152" spans="1:92" ht="15.75" customHeight="1" hidden="1">
      <c r="A152" s="46">
        <v>6</v>
      </c>
      <c r="B152" s="77">
        <v>14.25</v>
      </c>
      <c r="C152" s="80">
        <v>18.25</v>
      </c>
      <c r="D152" s="80">
        <v>5</v>
      </c>
      <c r="E152" s="82">
        <v>22.25</v>
      </c>
      <c r="F152" s="33">
        <v>14.4</v>
      </c>
      <c r="G152" s="16">
        <v>3169.62</v>
      </c>
      <c r="H152" s="22"/>
      <c r="I152" s="63">
        <v>1.3537</v>
      </c>
      <c r="J152" s="16">
        <v>359981.40909090906</v>
      </c>
      <c r="K152" s="20">
        <v>13.939548375913738</v>
      </c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</row>
    <row r="153" spans="1:92" ht="15.75" customHeight="1" hidden="1">
      <c r="A153" s="46">
        <v>7</v>
      </c>
      <c r="B153" s="77">
        <v>14.25</v>
      </c>
      <c r="C153" s="80">
        <v>18.25</v>
      </c>
      <c r="D153" s="80">
        <v>5</v>
      </c>
      <c r="E153" s="82">
        <v>22.25</v>
      </c>
      <c r="F153" s="33">
        <v>14.254</v>
      </c>
      <c r="G153" s="16">
        <v>3041.46</v>
      </c>
      <c r="H153" s="22"/>
      <c r="I153" s="63">
        <v>1.33271</v>
      </c>
      <c r="J153" s="16">
        <v>337391.1904761905</v>
      </c>
      <c r="K153" s="20">
        <v>13.69518634725778</v>
      </c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</row>
    <row r="154" spans="1:92" ht="15.75" customHeight="1" hidden="1">
      <c r="A154" s="46">
        <v>8</v>
      </c>
      <c r="B154" s="77">
        <v>14.25</v>
      </c>
      <c r="C154" s="80">
        <v>18.25</v>
      </c>
      <c r="D154" s="80">
        <v>5</v>
      </c>
      <c r="E154" s="82">
        <v>22.25</v>
      </c>
      <c r="F154" s="33">
        <v>14.25</v>
      </c>
      <c r="G154" s="16">
        <v>3026.94</v>
      </c>
      <c r="H154" s="22"/>
      <c r="I154" s="63">
        <v>1.33663</v>
      </c>
      <c r="J154" s="16">
        <v>563401.5150985733</v>
      </c>
      <c r="K154" s="20">
        <v>13.635235092042043</v>
      </c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</row>
    <row r="155" spans="1:92" ht="15.75" customHeight="1" hidden="1">
      <c r="A155" s="46">
        <v>9</v>
      </c>
      <c r="B155" s="77">
        <v>14.25</v>
      </c>
      <c r="C155" s="80">
        <v>18.25</v>
      </c>
      <c r="D155" s="80">
        <v>5</v>
      </c>
      <c r="E155" s="82">
        <v>22.25</v>
      </c>
      <c r="F155" s="33">
        <v>14.3</v>
      </c>
      <c r="G155" s="16">
        <v>3390.9</v>
      </c>
      <c r="H155" s="22"/>
      <c r="I155" s="63">
        <v>1.334</v>
      </c>
      <c r="J155" s="16">
        <v>362745.86363636365</v>
      </c>
      <c r="K155" s="20">
        <v>13.908397924202449</v>
      </c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</row>
    <row r="156" spans="1:92" ht="15.75" customHeight="1" hidden="1">
      <c r="A156" s="46">
        <v>10</v>
      </c>
      <c r="B156" s="77">
        <v>14</v>
      </c>
      <c r="C156" s="80">
        <v>18</v>
      </c>
      <c r="D156" s="80">
        <v>5</v>
      </c>
      <c r="E156" s="82">
        <v>22</v>
      </c>
      <c r="F156" s="33">
        <v>14.2</v>
      </c>
      <c r="G156" s="16">
        <v>2396.62</v>
      </c>
      <c r="H156" s="22"/>
      <c r="I156" s="63">
        <v>1.3512</v>
      </c>
      <c r="J156" s="16">
        <v>338133.85714285716</v>
      </c>
      <c r="K156" s="20">
        <v>13.39110096437736</v>
      </c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</row>
    <row r="157" spans="1:92" ht="15.75" customHeight="1" hidden="1">
      <c r="A157" s="46">
        <v>11</v>
      </c>
      <c r="B157" s="77">
        <v>13.75</v>
      </c>
      <c r="C157" s="80">
        <v>17.75</v>
      </c>
      <c r="D157" s="80">
        <v>5</v>
      </c>
      <c r="E157" s="82">
        <v>21.75</v>
      </c>
      <c r="F157" s="33">
        <v>13.9</v>
      </c>
      <c r="G157" s="16">
        <v>2069.27</v>
      </c>
      <c r="H157" s="22"/>
      <c r="I157" s="63">
        <v>1.3537</v>
      </c>
      <c r="J157" s="16">
        <v>327093.15</v>
      </c>
      <c r="K157" s="20">
        <v>12.971081873359719</v>
      </c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</row>
    <row r="158" spans="1:92" ht="18" customHeight="1">
      <c r="A158" s="85" t="s">
        <v>92</v>
      </c>
      <c r="B158" s="77">
        <v>13.5</v>
      </c>
      <c r="C158" s="80">
        <v>17.5</v>
      </c>
      <c r="D158" s="80">
        <v>5</v>
      </c>
      <c r="E158" s="82">
        <v>21.5</v>
      </c>
      <c r="F158" s="33">
        <v>13.6</v>
      </c>
      <c r="G158" s="16">
        <v>2538.84</v>
      </c>
      <c r="H158" s="22"/>
      <c r="I158" s="63">
        <v>1.34571</v>
      </c>
      <c r="J158" s="16">
        <v>303705.1818181819</v>
      </c>
      <c r="K158" s="20">
        <v>13.021277215732775</v>
      </c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</row>
    <row r="159" spans="1:92" ht="18" customHeight="1" hidden="1">
      <c r="A159" s="85" t="s">
        <v>56</v>
      </c>
      <c r="B159" s="77">
        <v>13.5</v>
      </c>
      <c r="C159" s="80">
        <v>16.5</v>
      </c>
      <c r="D159" s="80">
        <v>9.5</v>
      </c>
      <c r="E159" s="82">
        <v>19.5</v>
      </c>
      <c r="F159" s="90" t="s">
        <v>0</v>
      </c>
      <c r="G159" s="16">
        <v>1574.84</v>
      </c>
      <c r="H159" s="22"/>
      <c r="I159" s="63">
        <v>1.32703</v>
      </c>
      <c r="J159" s="16">
        <v>191432.23529411765</v>
      </c>
      <c r="K159" s="20">
        <v>12.884897019321354</v>
      </c>
      <c r="L159" s="2"/>
      <c r="M159" s="4"/>
      <c r="N159" s="4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</row>
    <row r="160" spans="1:92" ht="18" customHeight="1" hidden="1">
      <c r="A160" s="85">
        <v>2</v>
      </c>
      <c r="B160" s="77">
        <v>13.5</v>
      </c>
      <c r="C160" s="80">
        <v>16.5</v>
      </c>
      <c r="D160" s="80">
        <v>9.5</v>
      </c>
      <c r="E160" s="82">
        <v>19.5</v>
      </c>
      <c r="F160" s="90" t="s">
        <v>0</v>
      </c>
      <c r="G160" s="16">
        <v>1371.16</v>
      </c>
      <c r="H160" s="22"/>
      <c r="I160" s="63">
        <v>1.3202</v>
      </c>
      <c r="J160" s="16">
        <v>205977.75</v>
      </c>
      <c r="K160" s="20">
        <v>12.910968029719799</v>
      </c>
      <c r="L160" s="2"/>
      <c r="M160" s="4"/>
      <c r="N160" s="4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</row>
    <row r="161" spans="1:92" ht="18" customHeight="1" hidden="1">
      <c r="A161" s="85">
        <v>3</v>
      </c>
      <c r="B161" s="77">
        <v>13.5</v>
      </c>
      <c r="C161" s="80">
        <v>16.5</v>
      </c>
      <c r="D161" s="80">
        <v>9.5</v>
      </c>
      <c r="E161" s="82">
        <v>19.5</v>
      </c>
      <c r="F161" s="90" t="s">
        <v>0</v>
      </c>
      <c r="G161" s="16">
        <v>1701.2</v>
      </c>
      <c r="H161" s="22"/>
      <c r="I161" s="63">
        <v>1.32872608695652</v>
      </c>
      <c r="J161" s="16">
        <v>195609.869565217</v>
      </c>
      <c r="K161" s="20">
        <v>12.87</v>
      </c>
      <c r="L161" s="2"/>
      <c r="M161" s="4"/>
      <c r="N161" s="4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</row>
    <row r="162" spans="1:92" ht="18" customHeight="1" hidden="1">
      <c r="A162" s="85">
        <v>4</v>
      </c>
      <c r="B162" s="77">
        <v>13.25</v>
      </c>
      <c r="C162" s="80">
        <v>16.25</v>
      </c>
      <c r="D162" s="80">
        <v>9.25</v>
      </c>
      <c r="E162" s="82">
        <v>19.25</v>
      </c>
      <c r="F162" s="90" t="s">
        <v>0</v>
      </c>
      <c r="G162" s="16">
        <v>1425.24</v>
      </c>
      <c r="H162" s="22"/>
      <c r="I162" s="63">
        <v>1.3392</v>
      </c>
      <c r="J162" s="16">
        <v>180612.55</v>
      </c>
      <c r="K162" s="20">
        <v>12.736872203254997</v>
      </c>
      <c r="L162" s="2"/>
      <c r="M162" s="4"/>
      <c r="N162" s="4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</row>
    <row r="163" spans="1:92" ht="18" customHeight="1" hidden="1">
      <c r="A163" s="85">
        <v>5</v>
      </c>
      <c r="B163" s="77">
        <v>13.25</v>
      </c>
      <c r="C163" s="80">
        <v>16.25</v>
      </c>
      <c r="D163" s="80">
        <v>9.25</v>
      </c>
      <c r="E163" s="82">
        <v>19.25</v>
      </c>
      <c r="F163" s="90" t="s">
        <v>0</v>
      </c>
      <c r="G163" s="16">
        <v>872.61</v>
      </c>
      <c r="H163" s="22"/>
      <c r="I163" s="63">
        <v>1.4138545454545457</v>
      </c>
      <c r="J163" s="16">
        <v>191047.5</v>
      </c>
      <c r="K163" s="20">
        <v>12.415036033590217</v>
      </c>
      <c r="L163" s="2"/>
      <c r="M163" s="4"/>
      <c r="N163" s="4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</row>
    <row r="164" spans="1:92" ht="18" customHeight="1" hidden="1">
      <c r="A164" s="85">
        <v>6</v>
      </c>
      <c r="B164" s="77">
        <v>17.25</v>
      </c>
      <c r="C164" s="80">
        <v>22.25</v>
      </c>
      <c r="D164" s="80">
        <v>13.25</v>
      </c>
      <c r="E164" s="82">
        <v>25.25</v>
      </c>
      <c r="F164" s="90" t="s">
        <v>81</v>
      </c>
      <c r="G164" s="16">
        <v>2122.78</v>
      </c>
      <c r="H164" s="22"/>
      <c r="I164" s="63">
        <v>1.5928545454545455</v>
      </c>
      <c r="J164" s="16">
        <v>172958.045454545</v>
      </c>
      <c r="K164" s="20">
        <v>14.4</v>
      </c>
      <c r="L164" s="2"/>
      <c r="M164" s="4"/>
      <c r="N164" s="4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</row>
    <row r="165" spans="1:92" ht="18" customHeight="1" hidden="1">
      <c r="A165" s="85">
        <v>7</v>
      </c>
      <c r="B165" s="77">
        <v>17.5</v>
      </c>
      <c r="C165" s="80">
        <v>22.5</v>
      </c>
      <c r="D165" s="80">
        <v>13.5</v>
      </c>
      <c r="E165" s="82">
        <v>25.5</v>
      </c>
      <c r="F165" s="90" t="s">
        <v>82</v>
      </c>
      <c r="G165" s="16">
        <v>109.74</v>
      </c>
      <c r="H165" s="22"/>
      <c r="I165" s="63">
        <v>1.5507809523809524</v>
      </c>
      <c r="J165" s="16">
        <v>151083</v>
      </c>
      <c r="K165" s="20">
        <v>17.02</v>
      </c>
      <c r="L165" s="2"/>
      <c r="M165" s="4"/>
      <c r="N165" s="4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</row>
    <row r="166" spans="1:92" ht="18" customHeight="1" hidden="1">
      <c r="A166" s="85">
        <v>8</v>
      </c>
      <c r="B166" s="77">
        <v>17.5</v>
      </c>
      <c r="C166" s="80">
        <v>22.5</v>
      </c>
      <c r="D166" s="80">
        <v>13.5</v>
      </c>
      <c r="E166" s="82">
        <v>25.5</v>
      </c>
      <c r="F166" s="90" t="s">
        <v>83</v>
      </c>
      <c r="G166" s="16">
        <v>176.18</v>
      </c>
      <c r="H166" s="22"/>
      <c r="I166" s="63">
        <v>1.47214</v>
      </c>
      <c r="J166" s="16">
        <v>142881.590909091</v>
      </c>
      <c r="K166" s="20">
        <v>17.104963399126955</v>
      </c>
      <c r="L166" s="2"/>
      <c r="M166" s="4"/>
      <c r="N166" s="4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</row>
    <row r="167" spans="1:92" ht="18" customHeight="1" hidden="1">
      <c r="A167" s="85">
        <v>9</v>
      </c>
      <c r="B167" s="77">
        <v>17.5</v>
      </c>
      <c r="C167" s="80">
        <v>22.5</v>
      </c>
      <c r="D167" s="80">
        <v>13.5</v>
      </c>
      <c r="E167" s="82">
        <v>25.5</v>
      </c>
      <c r="F167" s="90" t="s">
        <v>0</v>
      </c>
      <c r="G167" s="16">
        <v>128.42</v>
      </c>
      <c r="H167" s="22"/>
      <c r="I167" s="63">
        <v>1.47113</v>
      </c>
      <c r="J167" s="16">
        <v>182319.523809524</v>
      </c>
      <c r="K167" s="20">
        <v>17.707831109915933</v>
      </c>
      <c r="L167" s="2"/>
      <c r="M167" s="4"/>
      <c r="N167" s="4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</row>
    <row r="168" spans="1:92" ht="18" customHeight="1" hidden="1">
      <c r="A168" s="85">
        <v>10</v>
      </c>
      <c r="B168" s="77">
        <v>17.5</v>
      </c>
      <c r="C168" s="80">
        <v>22.5</v>
      </c>
      <c r="D168" s="80">
        <v>13.5</v>
      </c>
      <c r="E168" s="82">
        <v>25.5</v>
      </c>
      <c r="F168" s="90" t="s">
        <v>0</v>
      </c>
      <c r="G168" s="16">
        <v>102.34</v>
      </c>
      <c r="H168" s="22"/>
      <c r="I168" s="63">
        <v>1.474</v>
      </c>
      <c r="J168" s="16">
        <v>190253.2</v>
      </c>
      <c r="K168" s="20">
        <v>17.11</v>
      </c>
      <c r="L168" s="2"/>
      <c r="M168" s="4"/>
      <c r="N168" s="4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</row>
    <row r="169" spans="1:92" ht="18" customHeight="1" hidden="1">
      <c r="A169" s="85">
        <v>11</v>
      </c>
      <c r="B169" s="77">
        <v>17.5</v>
      </c>
      <c r="C169" s="80">
        <v>22.5</v>
      </c>
      <c r="D169" s="80">
        <v>13.5</v>
      </c>
      <c r="E169" s="82">
        <v>25.5</v>
      </c>
      <c r="F169" s="90" t="s">
        <v>0</v>
      </c>
      <c r="G169" s="16">
        <v>917.06</v>
      </c>
      <c r="H169" s="22"/>
      <c r="I169" s="63">
        <v>1.4507</v>
      </c>
      <c r="J169" s="16">
        <v>151869</v>
      </c>
      <c r="K169" s="20">
        <v>17.22</v>
      </c>
      <c r="L169" s="2"/>
      <c r="M169" s="4"/>
      <c r="N169" s="4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</row>
    <row r="170" spans="1:92" ht="18" customHeight="1">
      <c r="A170" s="85" t="s">
        <v>93</v>
      </c>
      <c r="B170" s="77">
        <v>17.5</v>
      </c>
      <c r="C170" s="80">
        <v>22.5</v>
      </c>
      <c r="D170" s="80">
        <v>13.5</v>
      </c>
      <c r="E170" s="82">
        <v>25.5</v>
      </c>
      <c r="F170" s="90" t="s">
        <v>0</v>
      </c>
      <c r="G170" s="16">
        <v>1265.025</v>
      </c>
      <c r="H170" s="22"/>
      <c r="I170" s="63">
        <v>1.4245</v>
      </c>
      <c r="J170" s="16">
        <v>187743.7</v>
      </c>
      <c r="K170" s="20">
        <v>17.68</v>
      </c>
      <c r="L170" s="2"/>
      <c r="M170" s="4"/>
      <c r="N170" s="4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</row>
    <row r="171" spans="1:92" ht="18" customHeight="1" hidden="1">
      <c r="A171" s="85" t="s">
        <v>87</v>
      </c>
      <c r="B171" s="77">
        <v>17.5</v>
      </c>
      <c r="C171" s="80">
        <v>22.5</v>
      </c>
      <c r="D171" s="80">
        <v>13.5</v>
      </c>
      <c r="E171" s="82">
        <v>25.5</v>
      </c>
      <c r="F171" s="90" t="s">
        <v>0</v>
      </c>
      <c r="G171" s="16">
        <v>1236.31</v>
      </c>
      <c r="H171" s="22"/>
      <c r="I171" s="63">
        <v>1.4264</v>
      </c>
      <c r="J171" s="16">
        <v>143020.5</v>
      </c>
      <c r="K171" s="20">
        <v>16.98</v>
      </c>
      <c r="L171" s="2"/>
      <c r="M171" s="4"/>
      <c r="N171" s="4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</row>
    <row r="172" spans="1:92" ht="18" customHeight="1" hidden="1">
      <c r="A172" s="85">
        <v>2</v>
      </c>
      <c r="B172" s="77">
        <v>17.5</v>
      </c>
      <c r="C172" s="80">
        <v>22.5</v>
      </c>
      <c r="D172" s="80">
        <v>13.5</v>
      </c>
      <c r="E172" s="82">
        <v>25.5</v>
      </c>
      <c r="F172" s="90" t="s">
        <v>0</v>
      </c>
      <c r="G172" s="16">
        <v>1225.41</v>
      </c>
      <c r="H172" s="22"/>
      <c r="I172" s="63">
        <v>1.3973</v>
      </c>
      <c r="J172" s="16">
        <v>146570</v>
      </c>
      <c r="K172" s="20">
        <v>17.34</v>
      </c>
      <c r="L172" s="2"/>
      <c r="M172" s="4"/>
      <c r="N172" s="4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</row>
    <row r="173" spans="1:92" ht="18" customHeight="1" hidden="1">
      <c r="A173" s="85">
        <v>3</v>
      </c>
      <c r="B173" s="77">
        <v>17.5</v>
      </c>
      <c r="C173" s="80">
        <v>22.5</v>
      </c>
      <c r="D173" s="80">
        <v>13.5</v>
      </c>
      <c r="E173" s="82">
        <v>25.5</v>
      </c>
      <c r="F173" s="90" t="s">
        <v>0</v>
      </c>
      <c r="G173" s="16">
        <v>1354</v>
      </c>
      <c r="H173" s="22"/>
      <c r="I173" s="63">
        <v>1.40287</v>
      </c>
      <c r="J173" s="16">
        <v>136080.727</v>
      </c>
      <c r="K173" s="20">
        <v>17.44</v>
      </c>
      <c r="L173" s="2"/>
      <c r="M173" s="4"/>
      <c r="N173" s="4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</row>
    <row r="174" spans="1:92" ht="18" customHeight="1" hidden="1">
      <c r="A174" s="85">
        <v>4</v>
      </c>
      <c r="B174" s="77">
        <v>17.5</v>
      </c>
      <c r="C174" s="80">
        <v>22.5</v>
      </c>
      <c r="D174" s="80">
        <v>13.5</v>
      </c>
      <c r="E174" s="82">
        <v>25.5</v>
      </c>
      <c r="F174" s="90" t="s">
        <v>0</v>
      </c>
      <c r="G174" s="16">
        <v>1329.98</v>
      </c>
      <c r="H174" s="22"/>
      <c r="I174" s="63">
        <v>1.3553</v>
      </c>
      <c r="J174" s="16">
        <v>149688.8</v>
      </c>
      <c r="K174" s="20">
        <v>17.44</v>
      </c>
      <c r="L174" s="2"/>
      <c r="M174" s="4"/>
      <c r="N174" s="4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</row>
    <row r="175" spans="1:92" ht="18" customHeight="1" hidden="1">
      <c r="A175" s="85">
        <v>5</v>
      </c>
      <c r="B175" s="77">
        <v>17.5</v>
      </c>
      <c r="C175" s="80">
        <v>22.5</v>
      </c>
      <c r="D175" s="80">
        <v>13.5</v>
      </c>
      <c r="E175" s="82">
        <v>25.5</v>
      </c>
      <c r="F175" s="90" t="s">
        <v>0</v>
      </c>
      <c r="G175" s="16">
        <v>1369</v>
      </c>
      <c r="H175" s="22"/>
      <c r="I175" s="63">
        <v>1.3309</v>
      </c>
      <c r="J175" s="16">
        <v>142526.783</v>
      </c>
      <c r="K175" s="20">
        <v>16.99</v>
      </c>
      <c r="L175" s="2"/>
      <c r="M175" s="4"/>
      <c r="N175" s="4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</row>
    <row r="176" spans="1:92" ht="18" customHeight="1" hidden="1">
      <c r="A176" s="85">
        <v>6</v>
      </c>
      <c r="B176" s="77">
        <v>17.5</v>
      </c>
      <c r="C176" s="80">
        <v>22.5</v>
      </c>
      <c r="D176" s="80">
        <v>13.5</v>
      </c>
      <c r="E176" s="82">
        <v>25.5</v>
      </c>
      <c r="F176" s="90" t="s">
        <v>0</v>
      </c>
      <c r="G176" s="16">
        <v>1562.56</v>
      </c>
      <c r="H176" s="22"/>
      <c r="I176" s="63">
        <v>1.3152</v>
      </c>
      <c r="J176" s="16">
        <v>141661.80952381</v>
      </c>
      <c r="K176" s="20">
        <v>17.15</v>
      </c>
      <c r="L176" s="2"/>
      <c r="M176" s="4"/>
      <c r="N176" s="4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</row>
    <row r="177" spans="1:102" ht="18" customHeight="1" hidden="1">
      <c r="A177" s="85">
        <v>7</v>
      </c>
      <c r="B177" s="77">
        <v>17.5</v>
      </c>
      <c r="C177" s="80">
        <v>22.5</v>
      </c>
      <c r="D177" s="80">
        <v>13.5</v>
      </c>
      <c r="E177" s="82">
        <v>25.5</v>
      </c>
      <c r="F177" s="90" t="s">
        <v>0</v>
      </c>
      <c r="G177" s="16">
        <v>2159.95</v>
      </c>
      <c r="H177" s="22"/>
      <c r="I177" s="63">
        <v>1.27597</v>
      </c>
      <c r="J177" s="16">
        <v>146660.31818181818</v>
      </c>
      <c r="K177" s="20">
        <v>16.94810382494862</v>
      </c>
      <c r="L177" s="10"/>
      <c r="M177" s="32"/>
      <c r="N177" s="32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  <c r="BU177" s="36"/>
      <c r="BV177" s="36"/>
      <c r="BW177" s="36"/>
      <c r="BX177" s="36"/>
      <c r="BY177" s="36"/>
      <c r="BZ177" s="36"/>
      <c r="CA177" s="36"/>
      <c r="CB177" s="36"/>
      <c r="CC177" s="36"/>
      <c r="CD177" s="36"/>
      <c r="CE177" s="36"/>
      <c r="CF177" s="36"/>
      <c r="CG177" s="36"/>
      <c r="CH177" s="36"/>
      <c r="CI177" s="36"/>
      <c r="CJ177" s="36"/>
      <c r="CK177" s="36"/>
      <c r="CL177" s="36"/>
      <c r="CM177" s="36"/>
      <c r="CN177" s="36"/>
      <c r="CO177" s="37"/>
      <c r="CP177" s="37"/>
      <c r="CQ177" s="37"/>
      <c r="CR177" s="37"/>
      <c r="CS177" s="37"/>
      <c r="CT177" s="37"/>
      <c r="CU177" s="37"/>
      <c r="CV177" s="37"/>
      <c r="CW177" s="37"/>
      <c r="CX177" s="37"/>
    </row>
    <row r="178" spans="1:102" ht="18" customHeight="1" hidden="1">
      <c r="A178" s="85">
        <v>8</v>
      </c>
      <c r="B178" s="77">
        <v>17.5</v>
      </c>
      <c r="C178" s="80">
        <v>22.5</v>
      </c>
      <c r="D178" s="80">
        <v>13.5</v>
      </c>
      <c r="E178" s="82">
        <v>25.5</v>
      </c>
      <c r="F178" s="90" t="s">
        <v>0</v>
      </c>
      <c r="G178" s="16">
        <v>2468.89</v>
      </c>
      <c r="H178" s="22"/>
      <c r="I178" s="63">
        <v>1.3083</v>
      </c>
      <c r="J178" s="16">
        <v>176395.409090909</v>
      </c>
      <c r="K178" s="20">
        <v>17.04572177652729</v>
      </c>
      <c r="L178" s="10"/>
      <c r="M178" s="32"/>
      <c r="N178" s="32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  <c r="BV178" s="36"/>
      <c r="BW178" s="36"/>
      <c r="BX178" s="36"/>
      <c r="BY178" s="36"/>
      <c r="BZ178" s="36"/>
      <c r="CA178" s="36"/>
      <c r="CB178" s="36"/>
      <c r="CC178" s="36"/>
      <c r="CD178" s="36"/>
      <c r="CE178" s="36"/>
      <c r="CF178" s="36"/>
      <c r="CG178" s="36"/>
      <c r="CH178" s="36"/>
      <c r="CI178" s="36"/>
      <c r="CJ178" s="36"/>
      <c r="CK178" s="36"/>
      <c r="CL178" s="36"/>
      <c r="CM178" s="36"/>
      <c r="CN178" s="36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</row>
    <row r="179" spans="1:102" ht="18" customHeight="1" hidden="1">
      <c r="A179" s="85">
        <v>9</v>
      </c>
      <c r="B179" s="77">
        <v>17.25</v>
      </c>
      <c r="C179" s="80">
        <v>22.25</v>
      </c>
      <c r="D179" s="80">
        <v>13.25</v>
      </c>
      <c r="E179" s="82">
        <v>25.25</v>
      </c>
      <c r="F179" s="90" t="s">
        <v>0</v>
      </c>
      <c r="G179" s="16">
        <v>1300.09</v>
      </c>
      <c r="H179" s="22"/>
      <c r="I179" s="63">
        <v>1.26131</v>
      </c>
      <c r="J179" s="16">
        <v>143245.35</v>
      </c>
      <c r="K179" s="20">
        <v>16.788131286635135</v>
      </c>
      <c r="L179" s="10"/>
      <c r="M179" s="32"/>
      <c r="N179" s="32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  <c r="BU179" s="36"/>
      <c r="BV179" s="36"/>
      <c r="BW179" s="36"/>
      <c r="BX179" s="36"/>
      <c r="BY179" s="36"/>
      <c r="BZ179" s="36"/>
      <c r="CA179" s="36"/>
      <c r="CB179" s="36"/>
      <c r="CC179" s="36"/>
      <c r="CD179" s="36"/>
      <c r="CE179" s="36"/>
      <c r="CF179" s="36"/>
      <c r="CG179" s="36"/>
      <c r="CH179" s="36"/>
      <c r="CI179" s="36"/>
      <c r="CJ179" s="36"/>
      <c r="CK179" s="36"/>
      <c r="CL179" s="36"/>
      <c r="CM179" s="36"/>
      <c r="CN179" s="36"/>
      <c r="CO179" s="37"/>
      <c r="CP179" s="37"/>
      <c r="CQ179" s="37"/>
      <c r="CR179" s="37"/>
      <c r="CS179" s="37"/>
      <c r="CT179" s="37"/>
      <c r="CU179" s="37"/>
      <c r="CV179" s="37"/>
      <c r="CW179" s="37"/>
      <c r="CX179" s="37"/>
    </row>
    <row r="180" spans="1:102" ht="18" customHeight="1" hidden="1">
      <c r="A180" s="85">
        <v>10</v>
      </c>
      <c r="B180" s="77">
        <v>16.75</v>
      </c>
      <c r="C180" s="80">
        <v>21.5</v>
      </c>
      <c r="D180" s="80">
        <v>12.75</v>
      </c>
      <c r="E180" s="82">
        <v>24.5</v>
      </c>
      <c r="F180" s="90" t="s">
        <v>0</v>
      </c>
      <c r="G180" s="16">
        <v>2244.93</v>
      </c>
      <c r="H180" s="22"/>
      <c r="I180" s="63">
        <v>1.19659</v>
      </c>
      <c r="J180" s="16">
        <v>131018.428571429</v>
      </c>
      <c r="K180" s="20">
        <v>16.13</v>
      </c>
      <c r="L180" s="10"/>
      <c r="M180" s="32"/>
      <c r="N180" s="32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  <c r="BU180" s="36"/>
      <c r="BV180" s="36"/>
      <c r="BW180" s="36"/>
      <c r="BX180" s="36"/>
      <c r="BY180" s="36"/>
      <c r="BZ180" s="36"/>
      <c r="CA180" s="36"/>
      <c r="CB180" s="36"/>
      <c r="CC180" s="36"/>
      <c r="CD180" s="36"/>
      <c r="CE180" s="36"/>
      <c r="CF180" s="36"/>
      <c r="CG180" s="36"/>
      <c r="CH180" s="36"/>
      <c r="CI180" s="36"/>
      <c r="CJ180" s="36"/>
      <c r="CK180" s="36"/>
      <c r="CL180" s="36"/>
      <c r="CM180" s="36"/>
      <c r="CN180" s="36"/>
      <c r="CO180" s="37"/>
      <c r="CP180" s="37"/>
      <c r="CQ180" s="37"/>
      <c r="CR180" s="37"/>
      <c r="CS180" s="37"/>
      <c r="CT180" s="37"/>
      <c r="CU180" s="37"/>
      <c r="CV180" s="37"/>
      <c r="CW180" s="37"/>
      <c r="CX180" s="37"/>
    </row>
    <row r="181" spans="1:216" ht="18" customHeight="1" hidden="1">
      <c r="A181" s="85">
        <v>11</v>
      </c>
      <c r="B181" s="77">
        <v>16.25</v>
      </c>
      <c r="C181" s="80">
        <v>20.75</v>
      </c>
      <c r="D181" s="80">
        <v>12.25</v>
      </c>
      <c r="E181" s="82">
        <v>23.75</v>
      </c>
      <c r="F181" s="90" t="s">
        <v>0</v>
      </c>
      <c r="G181" s="16">
        <v>2519.23</v>
      </c>
      <c r="H181" s="22"/>
      <c r="I181" s="63">
        <v>1.18475</v>
      </c>
      <c r="J181" s="16">
        <v>139107.681818182</v>
      </c>
      <c r="K181" s="20">
        <v>15.87</v>
      </c>
      <c r="L181" s="10"/>
      <c r="M181" s="32"/>
      <c r="N181" s="32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  <c r="BU181" s="36"/>
      <c r="BV181" s="36"/>
      <c r="BW181" s="36"/>
      <c r="BX181" s="36"/>
      <c r="BY181" s="36"/>
      <c r="BZ181" s="36"/>
      <c r="CA181" s="36"/>
      <c r="CB181" s="36"/>
      <c r="CC181" s="36"/>
      <c r="CD181" s="36"/>
      <c r="CE181" s="36"/>
      <c r="CF181" s="36"/>
      <c r="CG181" s="36"/>
      <c r="CH181" s="36"/>
      <c r="CI181" s="36"/>
      <c r="CJ181" s="36"/>
      <c r="CK181" s="36"/>
      <c r="CL181" s="36"/>
      <c r="CM181" s="36"/>
      <c r="CN181" s="36"/>
      <c r="CO181" s="37"/>
      <c r="CP181" s="37"/>
      <c r="CQ181" s="37"/>
      <c r="CR181" s="37"/>
      <c r="CS181" s="37"/>
      <c r="CT181" s="37"/>
      <c r="CU181" s="37"/>
      <c r="CV181" s="37"/>
      <c r="CW181" s="37"/>
      <c r="CX181" s="37"/>
      <c r="CY181" s="37"/>
      <c r="CZ181" s="37"/>
      <c r="DA181" s="37"/>
      <c r="DB181" s="37"/>
      <c r="DC181" s="37"/>
      <c r="DD181" s="37"/>
      <c r="DE181" s="37"/>
      <c r="DF181" s="37"/>
      <c r="DG181" s="37"/>
      <c r="DH181" s="37"/>
      <c r="DI181" s="37"/>
      <c r="DJ181" s="37"/>
      <c r="DK181" s="37"/>
      <c r="DL181" s="37"/>
      <c r="DM181" s="37"/>
      <c r="DN181" s="37"/>
      <c r="DO181" s="37"/>
      <c r="DP181" s="37"/>
      <c r="DQ181" s="37"/>
      <c r="DR181" s="37"/>
      <c r="DS181" s="37"/>
      <c r="DT181" s="37"/>
      <c r="DU181" s="37"/>
      <c r="DV181" s="37"/>
      <c r="DW181" s="37"/>
      <c r="DX181" s="37"/>
      <c r="DY181" s="37"/>
      <c r="DZ181" s="37"/>
      <c r="EA181" s="37"/>
      <c r="EB181" s="37"/>
      <c r="EC181" s="37"/>
      <c r="ED181" s="37"/>
      <c r="EE181" s="37"/>
      <c r="EF181" s="37"/>
      <c r="EG181" s="37"/>
      <c r="EH181" s="37"/>
      <c r="EI181" s="37"/>
      <c r="EJ181" s="37"/>
      <c r="EK181" s="37"/>
      <c r="EL181" s="37"/>
      <c r="EM181" s="37"/>
      <c r="EN181" s="37"/>
      <c r="EO181" s="37"/>
      <c r="EP181" s="37"/>
      <c r="EQ181" s="37"/>
      <c r="ER181" s="37"/>
      <c r="ES181" s="37"/>
      <c r="ET181" s="37"/>
      <c r="EU181" s="37"/>
      <c r="EV181" s="37"/>
      <c r="EW181" s="37"/>
      <c r="EX181" s="37"/>
      <c r="EY181" s="37"/>
      <c r="EZ181" s="37"/>
      <c r="FA181" s="37"/>
      <c r="FB181" s="37"/>
      <c r="FC181" s="37"/>
      <c r="FD181" s="37"/>
      <c r="FE181" s="37"/>
      <c r="FF181" s="37"/>
      <c r="FG181" s="37"/>
      <c r="FH181" s="37"/>
      <c r="FI181" s="37"/>
      <c r="FJ181" s="37"/>
      <c r="FK181" s="37"/>
      <c r="FL181" s="37"/>
      <c r="FM181" s="37"/>
      <c r="FN181" s="37"/>
      <c r="FO181" s="37"/>
      <c r="FP181" s="37"/>
      <c r="FQ181" s="37"/>
      <c r="FR181" s="37"/>
      <c r="FS181" s="37"/>
      <c r="FT181" s="37"/>
      <c r="FU181" s="37"/>
      <c r="FV181" s="37"/>
      <c r="FW181" s="37"/>
      <c r="FX181" s="37"/>
      <c r="FY181" s="37"/>
      <c r="FZ181" s="37"/>
      <c r="GA181" s="37"/>
      <c r="GB181" s="37"/>
      <c r="GC181" s="37"/>
      <c r="GD181" s="37"/>
      <c r="GE181" s="37"/>
      <c r="GF181" s="37"/>
      <c r="GG181" s="37"/>
      <c r="GH181" s="37"/>
      <c r="GI181" s="37"/>
      <c r="GJ181" s="37"/>
      <c r="GK181" s="37"/>
      <c r="GL181" s="37"/>
      <c r="GM181" s="37"/>
      <c r="GN181" s="37"/>
      <c r="GO181" s="37"/>
      <c r="GP181" s="37"/>
      <c r="GQ181" s="37"/>
      <c r="GR181" s="37"/>
      <c r="GS181" s="37"/>
      <c r="GT181" s="37"/>
      <c r="GU181" s="37"/>
      <c r="GV181" s="37"/>
      <c r="GW181" s="37"/>
      <c r="GX181" s="37"/>
      <c r="GY181" s="37"/>
      <c r="GZ181" s="37"/>
      <c r="HA181" s="37"/>
      <c r="HB181" s="37"/>
      <c r="HC181" s="37"/>
      <c r="HD181" s="37"/>
      <c r="HE181" s="37"/>
      <c r="HF181" s="37"/>
      <c r="HG181" s="37"/>
      <c r="HH181" s="37"/>
    </row>
    <row r="182" spans="1:216" ht="18" customHeight="1">
      <c r="A182" s="108" t="s">
        <v>98</v>
      </c>
      <c r="B182" s="77">
        <v>15.75</v>
      </c>
      <c r="C182" s="80">
        <v>20</v>
      </c>
      <c r="D182" s="80">
        <v>11.75</v>
      </c>
      <c r="E182" s="82">
        <v>23</v>
      </c>
      <c r="F182" s="90" t="s">
        <v>0</v>
      </c>
      <c r="G182" s="16">
        <v>1978.24</v>
      </c>
      <c r="H182" s="22"/>
      <c r="I182" s="63">
        <v>1.17296</v>
      </c>
      <c r="J182" s="16">
        <v>138552.105263158</v>
      </c>
      <c r="K182" s="20">
        <v>15.669635192864677</v>
      </c>
      <c r="L182" s="10"/>
      <c r="M182" s="32"/>
      <c r="N182" s="32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36"/>
      <c r="BW182" s="36"/>
      <c r="BX182" s="36"/>
      <c r="BY182" s="36"/>
      <c r="BZ182" s="36"/>
      <c r="CA182" s="36"/>
      <c r="CB182" s="36"/>
      <c r="CC182" s="36"/>
      <c r="CD182" s="36"/>
      <c r="CE182" s="36"/>
      <c r="CF182" s="36"/>
      <c r="CG182" s="36"/>
      <c r="CH182" s="36"/>
      <c r="CI182" s="36"/>
      <c r="CJ182" s="36"/>
      <c r="CK182" s="36"/>
      <c r="CL182" s="36"/>
      <c r="CM182" s="36"/>
      <c r="CN182" s="36"/>
      <c r="CO182" s="37"/>
      <c r="CP182" s="37"/>
      <c r="CQ182" s="37"/>
      <c r="CR182" s="37"/>
      <c r="CS182" s="37"/>
      <c r="CT182" s="37"/>
      <c r="CU182" s="37"/>
      <c r="CV182" s="37"/>
      <c r="CW182" s="37"/>
      <c r="CX182" s="37"/>
      <c r="CY182" s="37"/>
      <c r="CZ182" s="37"/>
      <c r="DA182" s="37"/>
      <c r="DB182" s="37"/>
      <c r="DC182" s="37"/>
      <c r="DD182" s="37"/>
      <c r="DE182" s="37"/>
      <c r="DF182" s="37"/>
      <c r="DG182" s="37"/>
      <c r="DH182" s="37"/>
      <c r="DI182" s="37"/>
      <c r="DJ182" s="37"/>
      <c r="DK182" s="37"/>
      <c r="DL182" s="37"/>
      <c r="DM182" s="37"/>
      <c r="DN182" s="37"/>
      <c r="DO182" s="37"/>
      <c r="DP182" s="37"/>
      <c r="DQ182" s="37"/>
      <c r="DR182" s="37"/>
      <c r="DS182" s="37"/>
      <c r="DT182" s="37"/>
      <c r="DU182" s="37"/>
      <c r="DV182" s="37"/>
      <c r="DW182" s="37"/>
      <c r="DX182" s="37"/>
      <c r="DY182" s="37"/>
      <c r="DZ182" s="37"/>
      <c r="EA182" s="37"/>
      <c r="EB182" s="37"/>
      <c r="EC182" s="37"/>
      <c r="ED182" s="37"/>
      <c r="EE182" s="37"/>
      <c r="EF182" s="37"/>
      <c r="EG182" s="37"/>
      <c r="EH182" s="37"/>
      <c r="EI182" s="37"/>
      <c r="EJ182" s="37"/>
      <c r="EK182" s="37"/>
      <c r="EL182" s="37"/>
      <c r="EM182" s="37"/>
      <c r="EN182" s="37"/>
      <c r="EO182" s="37"/>
      <c r="EP182" s="37"/>
      <c r="EQ182" s="37"/>
      <c r="ER182" s="37"/>
      <c r="ES182" s="37"/>
      <c r="ET182" s="37"/>
      <c r="EU182" s="37"/>
      <c r="EV182" s="37"/>
      <c r="EW182" s="37"/>
      <c r="EX182" s="37"/>
      <c r="EY182" s="37"/>
      <c r="EZ182" s="37"/>
      <c r="FA182" s="37"/>
      <c r="FB182" s="37"/>
      <c r="FC182" s="37"/>
      <c r="FD182" s="37"/>
      <c r="FE182" s="37"/>
      <c r="FF182" s="37"/>
      <c r="FG182" s="37"/>
      <c r="FH182" s="37"/>
      <c r="FI182" s="37"/>
      <c r="FJ182" s="37"/>
      <c r="FK182" s="37"/>
      <c r="FL182" s="37"/>
      <c r="FM182" s="37"/>
      <c r="FN182" s="37"/>
      <c r="FO182" s="37"/>
      <c r="FP182" s="37"/>
      <c r="FQ182" s="37"/>
      <c r="FR182" s="37"/>
      <c r="FS182" s="37"/>
      <c r="FT182" s="37"/>
      <c r="FU182" s="37"/>
      <c r="FV182" s="37"/>
      <c r="FW182" s="37"/>
      <c r="FX182" s="37"/>
      <c r="FY182" s="37"/>
      <c r="FZ182" s="37"/>
      <c r="GA182" s="37"/>
      <c r="GB182" s="37"/>
      <c r="GC182" s="37"/>
      <c r="GD182" s="37"/>
      <c r="GE182" s="37"/>
      <c r="GF182" s="37"/>
      <c r="GG182" s="37"/>
      <c r="GH182" s="37"/>
      <c r="GI182" s="37"/>
      <c r="GJ182" s="37"/>
      <c r="GK182" s="37"/>
      <c r="GL182" s="37"/>
      <c r="GM182" s="37"/>
      <c r="GN182" s="37"/>
      <c r="GO182" s="37"/>
      <c r="GP182" s="37"/>
      <c r="GQ182" s="37"/>
      <c r="GR182" s="37"/>
      <c r="GS182" s="37"/>
      <c r="GT182" s="37"/>
      <c r="GU182" s="37"/>
      <c r="GV182" s="37"/>
      <c r="GW182" s="37"/>
      <c r="GX182" s="37"/>
      <c r="GY182" s="37"/>
      <c r="GZ182" s="37"/>
      <c r="HA182" s="37"/>
      <c r="HB182" s="37"/>
      <c r="HC182" s="37"/>
      <c r="HD182" s="37"/>
      <c r="HE182" s="37"/>
      <c r="HF182" s="37"/>
      <c r="HG182" s="37"/>
      <c r="HH182" s="37"/>
    </row>
    <row r="183" spans="1:216" ht="18" customHeight="1" hidden="1">
      <c r="A183" s="85" t="s">
        <v>88</v>
      </c>
      <c r="B183" s="77">
        <v>15.5</v>
      </c>
      <c r="C183" s="80">
        <v>19.5</v>
      </c>
      <c r="D183" s="80">
        <v>11.5</v>
      </c>
      <c r="E183" s="82">
        <v>22.5</v>
      </c>
      <c r="F183" s="90" t="s">
        <v>0</v>
      </c>
      <c r="G183" s="16">
        <v>2150.9</v>
      </c>
      <c r="H183" s="22"/>
      <c r="I183" s="63">
        <v>1.17044</v>
      </c>
      <c r="J183" s="16">
        <v>140253.272727273</v>
      </c>
      <c r="K183" s="20">
        <v>15.568171686836001</v>
      </c>
      <c r="L183" s="10"/>
      <c r="M183" s="32"/>
      <c r="N183" s="32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6"/>
      <c r="BS183" s="36"/>
      <c r="BT183" s="36"/>
      <c r="BU183" s="36"/>
      <c r="BV183" s="36"/>
      <c r="BW183" s="36"/>
      <c r="BX183" s="36"/>
      <c r="BY183" s="36"/>
      <c r="BZ183" s="36"/>
      <c r="CA183" s="36"/>
      <c r="CB183" s="36"/>
      <c r="CC183" s="36"/>
      <c r="CD183" s="36"/>
      <c r="CE183" s="36"/>
      <c r="CF183" s="36"/>
      <c r="CG183" s="36"/>
      <c r="CH183" s="36"/>
      <c r="CI183" s="36"/>
      <c r="CJ183" s="36"/>
      <c r="CK183" s="36"/>
      <c r="CL183" s="36"/>
      <c r="CM183" s="36"/>
      <c r="CN183" s="36"/>
      <c r="CO183" s="37"/>
      <c r="CP183" s="37"/>
      <c r="CQ183" s="37"/>
      <c r="CR183" s="37"/>
      <c r="CS183" s="37"/>
      <c r="CT183" s="37"/>
      <c r="CU183" s="37"/>
      <c r="CV183" s="37"/>
      <c r="CW183" s="37"/>
      <c r="CX183" s="37"/>
      <c r="CY183" s="37"/>
      <c r="CZ183" s="37"/>
      <c r="DA183" s="37"/>
      <c r="DB183" s="37"/>
      <c r="DC183" s="37"/>
      <c r="DD183" s="37"/>
      <c r="DE183" s="37"/>
      <c r="DF183" s="37"/>
      <c r="DG183" s="37"/>
      <c r="DH183" s="37"/>
      <c r="DI183" s="37"/>
      <c r="DJ183" s="37"/>
      <c r="DK183" s="37"/>
      <c r="DL183" s="37"/>
      <c r="DM183" s="37"/>
      <c r="DN183" s="37"/>
      <c r="DO183" s="37"/>
      <c r="DP183" s="37"/>
      <c r="DQ183" s="37"/>
      <c r="DR183" s="37"/>
      <c r="DS183" s="37"/>
      <c r="DT183" s="37"/>
      <c r="DU183" s="37"/>
      <c r="DV183" s="37"/>
      <c r="DW183" s="37"/>
      <c r="DX183" s="37"/>
      <c r="DY183" s="37"/>
      <c r="DZ183" s="37"/>
      <c r="EA183" s="37"/>
      <c r="EB183" s="37"/>
      <c r="EC183" s="37"/>
      <c r="ED183" s="37"/>
      <c r="EE183" s="37"/>
      <c r="EF183" s="37"/>
      <c r="EG183" s="37"/>
      <c r="EH183" s="37"/>
      <c r="EI183" s="37"/>
      <c r="EJ183" s="37"/>
      <c r="EK183" s="37"/>
      <c r="EL183" s="37"/>
      <c r="EM183" s="37"/>
      <c r="EN183" s="37"/>
      <c r="EO183" s="37"/>
      <c r="EP183" s="37"/>
      <c r="EQ183" s="37"/>
      <c r="ER183" s="37"/>
      <c r="ES183" s="37"/>
      <c r="ET183" s="37"/>
      <c r="EU183" s="37"/>
      <c r="EV183" s="37"/>
      <c r="EW183" s="37"/>
      <c r="EX183" s="37"/>
      <c r="EY183" s="37"/>
      <c r="EZ183" s="37"/>
      <c r="FA183" s="37"/>
      <c r="FB183" s="37"/>
      <c r="FC183" s="37"/>
      <c r="FD183" s="37"/>
      <c r="FE183" s="37"/>
      <c r="FF183" s="37"/>
      <c r="FG183" s="37"/>
      <c r="FH183" s="37"/>
      <c r="FI183" s="37"/>
      <c r="FJ183" s="37"/>
      <c r="FK183" s="37"/>
      <c r="FL183" s="37"/>
      <c r="FM183" s="37"/>
      <c r="FN183" s="37"/>
      <c r="FO183" s="37"/>
      <c r="FP183" s="37"/>
      <c r="FQ183" s="37"/>
      <c r="FR183" s="37"/>
      <c r="FS183" s="37"/>
      <c r="FT183" s="37"/>
      <c r="FU183" s="37"/>
      <c r="FV183" s="37"/>
      <c r="FW183" s="37"/>
      <c r="FX183" s="37"/>
      <c r="FY183" s="37"/>
      <c r="FZ183" s="37"/>
      <c r="GA183" s="37"/>
      <c r="GB183" s="37"/>
      <c r="GC183" s="37"/>
      <c r="GD183" s="37"/>
      <c r="GE183" s="37"/>
      <c r="GF183" s="37"/>
      <c r="GG183" s="37"/>
      <c r="GH183" s="37"/>
      <c r="GI183" s="37"/>
      <c r="GJ183" s="37"/>
      <c r="GK183" s="37"/>
      <c r="GL183" s="37"/>
      <c r="GM183" s="37"/>
      <c r="GN183" s="37"/>
      <c r="GO183" s="37"/>
      <c r="GP183" s="37"/>
      <c r="GQ183" s="37"/>
      <c r="GR183" s="37"/>
      <c r="GS183" s="37"/>
      <c r="GT183" s="37"/>
      <c r="GU183" s="37"/>
      <c r="GV183" s="37"/>
      <c r="GW183" s="37"/>
      <c r="GX183" s="37"/>
      <c r="GY183" s="37"/>
      <c r="GZ183" s="37"/>
      <c r="HA183" s="37"/>
      <c r="HB183" s="37"/>
      <c r="HC183" s="37"/>
      <c r="HD183" s="37"/>
      <c r="HE183" s="37"/>
      <c r="HF183" s="37"/>
      <c r="HG183" s="37"/>
      <c r="HH183" s="37"/>
    </row>
    <row r="184" spans="1:216" ht="18" customHeight="1" hidden="1">
      <c r="A184" s="85">
        <v>2</v>
      </c>
      <c r="B184" s="77">
        <v>15.25</v>
      </c>
      <c r="C184" s="80">
        <v>19.25</v>
      </c>
      <c r="D184" s="80">
        <v>11.25</v>
      </c>
      <c r="E184" s="82">
        <v>22.25</v>
      </c>
      <c r="F184" s="90" t="s">
        <v>0</v>
      </c>
      <c r="G184" s="16">
        <v>2407.26</v>
      </c>
      <c r="H184" s="22"/>
      <c r="I184" s="63">
        <v>1.18817</v>
      </c>
      <c r="J184" s="16">
        <v>122673.666666667</v>
      </c>
      <c r="K184" s="20">
        <v>14.91277706522044</v>
      </c>
      <c r="L184" s="10"/>
      <c r="M184" s="32"/>
      <c r="N184" s="32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  <c r="BV184" s="36"/>
      <c r="BW184" s="36"/>
      <c r="BX184" s="36"/>
      <c r="BY184" s="36"/>
      <c r="BZ184" s="36"/>
      <c r="CA184" s="36"/>
      <c r="CB184" s="36"/>
      <c r="CC184" s="36"/>
      <c r="CD184" s="36"/>
      <c r="CE184" s="36"/>
      <c r="CF184" s="36"/>
      <c r="CG184" s="36"/>
      <c r="CH184" s="36"/>
      <c r="CI184" s="36"/>
      <c r="CJ184" s="36"/>
      <c r="CK184" s="36"/>
      <c r="CL184" s="36"/>
      <c r="CM184" s="36"/>
      <c r="CN184" s="36"/>
      <c r="CO184" s="37"/>
      <c r="CP184" s="37"/>
      <c r="CQ184" s="37"/>
      <c r="CR184" s="37"/>
      <c r="CS184" s="37"/>
      <c r="CT184" s="37"/>
      <c r="CU184" s="37"/>
      <c r="CV184" s="37"/>
      <c r="CW184" s="37"/>
      <c r="CX184" s="37"/>
      <c r="CY184" s="37"/>
      <c r="CZ184" s="37"/>
      <c r="DA184" s="37"/>
      <c r="DB184" s="37"/>
      <c r="DC184" s="37"/>
      <c r="DD184" s="37"/>
      <c r="DE184" s="37"/>
      <c r="DF184" s="37"/>
      <c r="DG184" s="37"/>
      <c r="DH184" s="37"/>
      <c r="DI184" s="37"/>
      <c r="DJ184" s="37"/>
      <c r="DK184" s="37"/>
      <c r="DL184" s="37"/>
      <c r="DM184" s="37"/>
      <c r="DN184" s="37"/>
      <c r="DO184" s="37"/>
      <c r="DP184" s="37"/>
      <c r="DQ184" s="37"/>
      <c r="DR184" s="37"/>
      <c r="DS184" s="37"/>
      <c r="DT184" s="37"/>
      <c r="DU184" s="37"/>
      <c r="DV184" s="37"/>
      <c r="DW184" s="37"/>
      <c r="DX184" s="37"/>
      <c r="DY184" s="37"/>
      <c r="DZ184" s="37"/>
      <c r="EA184" s="37"/>
      <c r="EB184" s="37"/>
      <c r="EC184" s="37"/>
      <c r="ED184" s="37"/>
      <c r="EE184" s="37"/>
      <c r="EF184" s="37"/>
      <c r="EG184" s="37"/>
      <c r="EH184" s="37"/>
      <c r="EI184" s="37"/>
      <c r="EJ184" s="37"/>
      <c r="EK184" s="37"/>
      <c r="EL184" s="37"/>
      <c r="EM184" s="37"/>
      <c r="EN184" s="37"/>
      <c r="EO184" s="37"/>
      <c r="EP184" s="37"/>
      <c r="EQ184" s="37"/>
      <c r="ER184" s="37"/>
      <c r="ES184" s="37"/>
      <c r="ET184" s="37"/>
      <c r="EU184" s="37"/>
      <c r="EV184" s="37"/>
      <c r="EW184" s="37"/>
      <c r="EX184" s="37"/>
      <c r="EY184" s="37"/>
      <c r="EZ184" s="37"/>
      <c r="FA184" s="37"/>
      <c r="FB184" s="37"/>
      <c r="FC184" s="37"/>
      <c r="FD184" s="37"/>
      <c r="FE184" s="37"/>
      <c r="FF184" s="37"/>
      <c r="FG184" s="37"/>
      <c r="FH184" s="37"/>
      <c r="FI184" s="37"/>
      <c r="FJ184" s="37"/>
      <c r="FK184" s="37"/>
      <c r="FL184" s="37"/>
      <c r="FM184" s="37"/>
      <c r="FN184" s="37"/>
      <c r="FO184" s="37"/>
      <c r="FP184" s="37"/>
      <c r="FQ184" s="37"/>
      <c r="FR184" s="37"/>
      <c r="FS184" s="37"/>
      <c r="FT184" s="37"/>
      <c r="FU184" s="37"/>
      <c r="FV184" s="37"/>
      <c r="FW184" s="37"/>
      <c r="FX184" s="37"/>
      <c r="FY184" s="37"/>
      <c r="FZ184" s="37"/>
      <c r="GA184" s="37"/>
      <c r="GB184" s="37"/>
      <c r="GC184" s="37"/>
      <c r="GD184" s="37"/>
      <c r="GE184" s="37"/>
      <c r="GF184" s="37"/>
      <c r="GG184" s="37"/>
      <c r="GH184" s="37"/>
      <c r="GI184" s="37"/>
      <c r="GJ184" s="37"/>
      <c r="GK184" s="37"/>
      <c r="GL184" s="37"/>
      <c r="GM184" s="37"/>
      <c r="GN184" s="37"/>
      <c r="GO184" s="37"/>
      <c r="GP184" s="37"/>
      <c r="GQ184" s="37"/>
      <c r="GR184" s="37"/>
      <c r="GS184" s="37"/>
      <c r="GT184" s="37"/>
      <c r="GU184" s="37"/>
      <c r="GV184" s="37"/>
      <c r="GW184" s="37"/>
      <c r="GX184" s="37"/>
      <c r="GY184" s="37"/>
      <c r="GZ184" s="37"/>
      <c r="HA184" s="37"/>
      <c r="HB184" s="37"/>
      <c r="HC184" s="37"/>
      <c r="HD184" s="37"/>
      <c r="HE184" s="37"/>
      <c r="HF184" s="37"/>
      <c r="HG184" s="37"/>
      <c r="HH184" s="37"/>
    </row>
    <row r="185" spans="1:216" ht="18" customHeight="1" hidden="1">
      <c r="A185" s="85">
        <v>3</v>
      </c>
      <c r="B185" s="77">
        <v>15.25</v>
      </c>
      <c r="C185" s="80">
        <v>19.25</v>
      </c>
      <c r="D185" s="80">
        <v>11.25</v>
      </c>
      <c r="E185" s="82">
        <v>22.25</v>
      </c>
      <c r="F185" s="90" t="s">
        <v>0</v>
      </c>
      <c r="G185" s="16">
        <v>1828.0110000000004</v>
      </c>
      <c r="H185" s="22"/>
      <c r="I185" s="63">
        <v>1.23238</v>
      </c>
      <c r="J185" s="16">
        <v>135922.142857143</v>
      </c>
      <c r="K185" s="20">
        <v>14.906011331167168</v>
      </c>
      <c r="L185" s="10"/>
      <c r="M185" s="32"/>
      <c r="N185" s="32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BS185" s="36"/>
      <c r="BT185" s="36"/>
      <c r="BU185" s="36"/>
      <c r="BV185" s="36"/>
      <c r="BW185" s="36"/>
      <c r="BX185" s="36"/>
      <c r="BY185" s="36"/>
      <c r="BZ185" s="36"/>
      <c r="CA185" s="36"/>
      <c r="CB185" s="36"/>
      <c r="CC185" s="36"/>
      <c r="CD185" s="36"/>
      <c r="CE185" s="36"/>
      <c r="CF185" s="36"/>
      <c r="CG185" s="36"/>
      <c r="CH185" s="36"/>
      <c r="CI185" s="36"/>
      <c r="CJ185" s="36"/>
      <c r="CK185" s="36"/>
      <c r="CL185" s="36"/>
      <c r="CM185" s="36"/>
      <c r="CN185" s="36"/>
      <c r="CO185" s="37"/>
      <c r="CP185" s="37"/>
      <c r="CQ185" s="37"/>
      <c r="CR185" s="37"/>
      <c r="CS185" s="37"/>
      <c r="CT185" s="37"/>
      <c r="CU185" s="37"/>
      <c r="CV185" s="37"/>
      <c r="CW185" s="37"/>
      <c r="CX185" s="37"/>
      <c r="CY185" s="37"/>
      <c r="CZ185" s="37"/>
      <c r="DA185" s="37"/>
      <c r="DB185" s="37"/>
      <c r="DC185" s="37"/>
      <c r="DD185" s="37"/>
      <c r="DE185" s="37"/>
      <c r="DF185" s="37"/>
      <c r="DG185" s="37"/>
      <c r="DH185" s="37"/>
      <c r="DI185" s="37"/>
      <c r="DJ185" s="37"/>
      <c r="DK185" s="37"/>
      <c r="DL185" s="37"/>
      <c r="DM185" s="37"/>
      <c r="DN185" s="37"/>
      <c r="DO185" s="37"/>
      <c r="DP185" s="37"/>
      <c r="DQ185" s="37"/>
      <c r="DR185" s="37"/>
      <c r="DS185" s="37"/>
      <c r="DT185" s="37"/>
      <c r="DU185" s="37"/>
      <c r="DV185" s="37"/>
      <c r="DW185" s="37"/>
      <c r="DX185" s="37"/>
      <c r="DY185" s="37"/>
      <c r="DZ185" s="37"/>
      <c r="EA185" s="37"/>
      <c r="EB185" s="37"/>
      <c r="EC185" s="37"/>
      <c r="ED185" s="37"/>
      <c r="EE185" s="37"/>
      <c r="EF185" s="37"/>
      <c r="EG185" s="37"/>
      <c r="EH185" s="37"/>
      <c r="EI185" s="37"/>
      <c r="EJ185" s="37"/>
      <c r="EK185" s="37"/>
      <c r="EL185" s="37"/>
      <c r="EM185" s="37"/>
      <c r="EN185" s="37"/>
      <c r="EO185" s="37"/>
      <c r="EP185" s="37"/>
      <c r="EQ185" s="37"/>
      <c r="ER185" s="37"/>
      <c r="ES185" s="37"/>
      <c r="ET185" s="37"/>
      <c r="EU185" s="37"/>
      <c r="EV185" s="37"/>
      <c r="EW185" s="37"/>
      <c r="EX185" s="37"/>
      <c r="EY185" s="37"/>
      <c r="EZ185" s="37"/>
      <c r="FA185" s="37"/>
      <c r="FB185" s="37"/>
      <c r="FC185" s="37"/>
      <c r="FD185" s="37"/>
      <c r="FE185" s="37"/>
      <c r="FF185" s="37"/>
      <c r="FG185" s="37"/>
      <c r="FH185" s="37"/>
      <c r="FI185" s="37"/>
      <c r="FJ185" s="37"/>
      <c r="FK185" s="37"/>
      <c r="FL185" s="37"/>
      <c r="FM185" s="37"/>
      <c r="FN185" s="37"/>
      <c r="FO185" s="37"/>
      <c r="FP185" s="37"/>
      <c r="FQ185" s="37"/>
      <c r="FR185" s="37"/>
      <c r="FS185" s="37"/>
      <c r="FT185" s="37"/>
      <c r="FU185" s="37"/>
      <c r="FV185" s="37"/>
      <c r="FW185" s="37"/>
      <c r="FX185" s="37"/>
      <c r="FY185" s="37"/>
      <c r="FZ185" s="37"/>
      <c r="GA185" s="37"/>
      <c r="GB185" s="37"/>
      <c r="GC185" s="37"/>
      <c r="GD185" s="37"/>
      <c r="GE185" s="37"/>
      <c r="GF185" s="37"/>
      <c r="GG185" s="37"/>
      <c r="GH185" s="37"/>
      <c r="GI185" s="37"/>
      <c r="GJ185" s="37"/>
      <c r="GK185" s="37"/>
      <c r="GL185" s="37"/>
      <c r="GM185" s="37"/>
      <c r="GN185" s="37"/>
      <c r="GO185" s="37"/>
      <c r="GP185" s="37"/>
      <c r="GQ185" s="37"/>
      <c r="GR185" s="37"/>
      <c r="GS185" s="37"/>
      <c r="GT185" s="37"/>
      <c r="GU185" s="37"/>
      <c r="GV185" s="37"/>
      <c r="GW185" s="37"/>
      <c r="GX185" s="37"/>
      <c r="GY185" s="37"/>
      <c r="GZ185" s="37"/>
      <c r="HA185" s="37"/>
      <c r="HB185" s="37"/>
      <c r="HC185" s="37"/>
      <c r="HD185" s="37"/>
      <c r="HE185" s="37"/>
      <c r="HF185" s="37"/>
      <c r="HG185" s="37"/>
      <c r="HH185" s="37"/>
    </row>
    <row r="186" spans="1:216" ht="18" customHeight="1" hidden="1">
      <c r="A186" s="85">
        <v>4</v>
      </c>
      <c r="B186" s="77">
        <v>15.25</v>
      </c>
      <c r="C186" s="80">
        <v>19.25</v>
      </c>
      <c r="D186" s="80">
        <v>11.25</v>
      </c>
      <c r="E186" s="82">
        <v>22.25</v>
      </c>
      <c r="F186" s="90" t="s">
        <v>0</v>
      </c>
      <c r="G186" s="16">
        <v>1365.37</v>
      </c>
      <c r="H186" s="22"/>
      <c r="I186" s="63">
        <v>1.29671</v>
      </c>
      <c r="J186" s="16">
        <v>126549.571428571</v>
      </c>
      <c r="K186" s="20">
        <v>14.627619047619048</v>
      </c>
      <c r="L186" s="10"/>
      <c r="M186" s="32"/>
      <c r="N186" s="32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  <c r="BV186" s="36"/>
      <c r="BW186" s="36"/>
      <c r="BX186" s="36"/>
      <c r="BY186" s="36"/>
      <c r="BZ186" s="36"/>
      <c r="CA186" s="36"/>
      <c r="CB186" s="36"/>
      <c r="CC186" s="36"/>
      <c r="CD186" s="36"/>
      <c r="CE186" s="36"/>
      <c r="CF186" s="36"/>
      <c r="CG186" s="36"/>
      <c r="CH186" s="36"/>
      <c r="CI186" s="36"/>
      <c r="CJ186" s="36"/>
      <c r="CK186" s="36"/>
      <c r="CL186" s="36"/>
      <c r="CM186" s="36"/>
      <c r="CN186" s="36"/>
      <c r="CO186" s="37"/>
      <c r="CP186" s="37"/>
      <c r="CQ186" s="37"/>
      <c r="CR186" s="37"/>
      <c r="CS186" s="37"/>
      <c r="CT186" s="37"/>
      <c r="CU186" s="37"/>
      <c r="CV186" s="37"/>
      <c r="CW186" s="37"/>
      <c r="CX186" s="37"/>
      <c r="CY186" s="37"/>
      <c r="CZ186" s="37"/>
      <c r="DA186" s="37"/>
      <c r="DB186" s="37"/>
      <c r="DC186" s="37"/>
      <c r="DD186" s="37"/>
      <c r="DE186" s="37"/>
      <c r="DF186" s="37"/>
      <c r="DG186" s="37"/>
      <c r="DH186" s="37"/>
      <c r="DI186" s="37"/>
      <c r="DJ186" s="37"/>
      <c r="DK186" s="37"/>
      <c r="DL186" s="37"/>
      <c r="DM186" s="37"/>
      <c r="DN186" s="37"/>
      <c r="DO186" s="37"/>
      <c r="DP186" s="37"/>
      <c r="DQ186" s="37"/>
      <c r="DR186" s="37"/>
      <c r="DS186" s="37"/>
      <c r="DT186" s="37"/>
      <c r="DU186" s="37"/>
      <c r="DV186" s="37"/>
      <c r="DW186" s="37"/>
      <c r="DX186" s="37"/>
      <c r="DY186" s="37"/>
      <c r="DZ186" s="37"/>
      <c r="EA186" s="37"/>
      <c r="EB186" s="37"/>
      <c r="EC186" s="37"/>
      <c r="ED186" s="37"/>
      <c r="EE186" s="37"/>
      <c r="EF186" s="37"/>
      <c r="EG186" s="37"/>
      <c r="EH186" s="37"/>
      <c r="EI186" s="37"/>
      <c r="EJ186" s="37"/>
      <c r="EK186" s="37"/>
      <c r="EL186" s="37"/>
      <c r="EM186" s="37"/>
      <c r="EN186" s="37"/>
      <c r="EO186" s="37"/>
      <c r="EP186" s="37"/>
      <c r="EQ186" s="37"/>
      <c r="ER186" s="37"/>
      <c r="ES186" s="37"/>
      <c r="ET186" s="37"/>
      <c r="EU186" s="37"/>
      <c r="EV186" s="37"/>
      <c r="EW186" s="37"/>
      <c r="EX186" s="37"/>
      <c r="EY186" s="37"/>
      <c r="EZ186" s="37"/>
      <c r="FA186" s="37"/>
      <c r="FB186" s="37"/>
      <c r="FC186" s="37"/>
      <c r="FD186" s="37"/>
      <c r="FE186" s="37"/>
      <c r="FF186" s="37"/>
      <c r="FG186" s="37"/>
      <c r="FH186" s="37"/>
      <c r="FI186" s="37"/>
      <c r="FJ186" s="37"/>
      <c r="FK186" s="37"/>
      <c r="FL186" s="37"/>
      <c r="FM186" s="37"/>
      <c r="FN186" s="37"/>
      <c r="FO186" s="37"/>
      <c r="FP186" s="37"/>
      <c r="FQ186" s="37"/>
      <c r="FR186" s="37"/>
      <c r="FS186" s="37"/>
      <c r="FT186" s="37"/>
      <c r="FU186" s="37"/>
      <c r="FV186" s="37"/>
      <c r="FW186" s="37"/>
      <c r="FX186" s="37"/>
      <c r="FY186" s="37"/>
      <c r="FZ186" s="37"/>
      <c r="GA186" s="37"/>
      <c r="GB186" s="37"/>
      <c r="GC186" s="37"/>
      <c r="GD186" s="37"/>
      <c r="GE186" s="37"/>
      <c r="GF186" s="37"/>
      <c r="GG186" s="37"/>
      <c r="GH186" s="37"/>
      <c r="GI186" s="37"/>
      <c r="GJ186" s="37"/>
      <c r="GK186" s="37"/>
      <c r="GL186" s="37"/>
      <c r="GM186" s="37"/>
      <c r="GN186" s="37"/>
      <c r="GO186" s="37"/>
      <c r="GP186" s="37"/>
      <c r="GQ186" s="37"/>
      <c r="GR186" s="37"/>
      <c r="GS186" s="37"/>
      <c r="GT186" s="37"/>
      <c r="GU186" s="37"/>
      <c r="GV186" s="37"/>
      <c r="GW186" s="37"/>
      <c r="GX186" s="37"/>
      <c r="GY186" s="37"/>
      <c r="GZ186" s="37"/>
      <c r="HA186" s="37"/>
      <c r="HB186" s="37"/>
      <c r="HC186" s="37"/>
      <c r="HD186" s="37"/>
      <c r="HE186" s="37"/>
      <c r="HF186" s="37"/>
      <c r="HG186" s="37"/>
      <c r="HH186" s="37"/>
    </row>
    <row r="187" spans="1:92" ht="18" customHeight="1" hidden="1">
      <c r="A187" s="85">
        <v>5</v>
      </c>
      <c r="B187" s="77">
        <v>15.75</v>
      </c>
      <c r="C187" s="80">
        <v>19.75</v>
      </c>
      <c r="D187" s="80">
        <v>11.75</v>
      </c>
      <c r="E187" s="82">
        <v>22.75</v>
      </c>
      <c r="F187" s="90" t="s">
        <v>0</v>
      </c>
      <c r="G187" s="16">
        <v>1328.6626539999997</v>
      </c>
      <c r="H187" s="22"/>
      <c r="I187" s="63">
        <v>1.22898</v>
      </c>
      <c r="J187" s="16">
        <v>159945.238095238</v>
      </c>
      <c r="K187" s="20">
        <v>15.421428571428573</v>
      </c>
      <c r="L187" s="2"/>
      <c r="M187" s="4"/>
      <c r="N187" s="4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</row>
    <row r="188" spans="1:92" ht="18" customHeight="1" hidden="1">
      <c r="A188" s="85">
        <v>6</v>
      </c>
      <c r="B188" s="77">
        <v>16.25</v>
      </c>
      <c r="C188" s="80">
        <v>20.25</v>
      </c>
      <c r="D188" s="80">
        <v>12.25</v>
      </c>
      <c r="E188" s="82">
        <v>23.25</v>
      </c>
      <c r="F188" s="90" t="s">
        <v>0</v>
      </c>
      <c r="G188" s="16">
        <v>1372.41</v>
      </c>
      <c r="H188" s="22"/>
      <c r="I188" s="63">
        <v>1.2278</v>
      </c>
      <c r="J188" s="16">
        <v>145395.285714286</v>
      </c>
      <c r="K188" s="20">
        <v>15.93</v>
      </c>
      <c r="L188" s="2"/>
      <c r="M188" s="4"/>
      <c r="N188" s="4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</row>
    <row r="189" spans="1:92" ht="18" customHeight="1" hidden="1">
      <c r="A189" s="85">
        <v>7</v>
      </c>
      <c r="B189" s="77">
        <v>16.75</v>
      </c>
      <c r="C189" s="80">
        <v>20.25</v>
      </c>
      <c r="D189" s="80">
        <v>12.75</v>
      </c>
      <c r="E189" s="82">
        <v>23.25</v>
      </c>
      <c r="F189" s="90" t="s">
        <v>0</v>
      </c>
      <c r="G189" s="16">
        <v>1532.07</v>
      </c>
      <c r="H189" s="22"/>
      <c r="I189" s="63">
        <v>1.21</v>
      </c>
      <c r="J189" s="16">
        <v>122916.95652173912</v>
      </c>
      <c r="K189" s="20">
        <v>15.77</v>
      </c>
      <c r="L189" s="2"/>
      <c r="M189" s="4"/>
      <c r="N189" s="4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</row>
    <row r="190" spans="1:92" ht="18" customHeight="1" hidden="1">
      <c r="A190" s="85">
        <v>8</v>
      </c>
      <c r="B190" s="77">
        <v>16.75</v>
      </c>
      <c r="C190" s="80">
        <v>20.25</v>
      </c>
      <c r="D190" s="80">
        <v>12.75</v>
      </c>
      <c r="E190" s="82">
        <v>23.25</v>
      </c>
      <c r="F190" s="90" t="s">
        <v>0</v>
      </c>
      <c r="G190" s="16">
        <v>1497.75</v>
      </c>
      <c r="H190" s="22"/>
      <c r="I190" s="63">
        <v>1.17267</v>
      </c>
      <c r="J190" s="16">
        <v>172617.476190476</v>
      </c>
      <c r="K190" s="20">
        <v>16.29420241893351</v>
      </c>
      <c r="L190" s="2"/>
      <c r="M190" s="4"/>
      <c r="N190" s="4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</row>
    <row r="191" spans="1:92" ht="18" customHeight="1" hidden="1">
      <c r="A191" s="85">
        <v>9</v>
      </c>
      <c r="B191" s="77">
        <v>16.75</v>
      </c>
      <c r="C191" s="80">
        <v>20.25</v>
      </c>
      <c r="D191" s="80">
        <v>12.75</v>
      </c>
      <c r="E191" s="82">
        <v>23.25</v>
      </c>
      <c r="F191" s="90" t="s">
        <v>0</v>
      </c>
      <c r="G191" s="16">
        <v>1302.4</v>
      </c>
      <c r="H191" s="22"/>
      <c r="I191" s="63">
        <v>1.2296</v>
      </c>
      <c r="J191" s="16">
        <v>159513.952380952</v>
      </c>
      <c r="K191" s="20">
        <v>16.5</v>
      </c>
      <c r="L191" s="2"/>
      <c r="M191" s="4"/>
      <c r="N191" s="4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</row>
    <row r="192" spans="1:92" ht="18" customHeight="1" hidden="1">
      <c r="A192" s="85">
        <v>10</v>
      </c>
      <c r="B192" s="77">
        <v>16.75</v>
      </c>
      <c r="C192" s="80">
        <v>19.75</v>
      </c>
      <c r="D192" s="80">
        <v>12.75</v>
      </c>
      <c r="E192" s="82">
        <v>22.75</v>
      </c>
      <c r="F192" s="90" t="s">
        <v>0</v>
      </c>
      <c r="G192" s="16">
        <v>2699.91</v>
      </c>
      <c r="H192" s="22"/>
      <c r="I192" s="63">
        <v>1.4733</v>
      </c>
      <c r="J192" s="16">
        <v>163701.15</v>
      </c>
      <c r="K192" s="20">
        <v>15.878851118196684</v>
      </c>
      <c r="L192" s="2"/>
      <c r="M192" s="4"/>
      <c r="N192" s="4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</row>
    <row r="193" spans="1:92" ht="18" customHeight="1" hidden="1">
      <c r="A193" s="85">
        <v>11</v>
      </c>
      <c r="B193" s="77">
        <v>16.25</v>
      </c>
      <c r="C193" s="80">
        <v>18.75</v>
      </c>
      <c r="D193" s="80">
        <v>12.25</v>
      </c>
      <c r="E193" s="82">
        <v>21.75</v>
      </c>
      <c r="F193" s="90" t="s">
        <v>0</v>
      </c>
      <c r="G193" s="16">
        <v>2299.08</v>
      </c>
      <c r="H193" s="22"/>
      <c r="I193" s="63">
        <v>1.58785</v>
      </c>
      <c r="J193" s="16">
        <v>171108.15</v>
      </c>
      <c r="K193" s="20">
        <v>16.226851185775136</v>
      </c>
      <c r="L193" s="2"/>
      <c r="M193" s="4"/>
      <c r="N193" s="4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</row>
    <row r="194" spans="1:92" ht="18" customHeight="1">
      <c r="A194" s="85" t="s">
        <v>100</v>
      </c>
      <c r="B194" s="77">
        <v>15</v>
      </c>
      <c r="C194" s="80">
        <v>17.5</v>
      </c>
      <c r="D194" s="80">
        <v>11</v>
      </c>
      <c r="E194" s="82">
        <v>20.5</v>
      </c>
      <c r="F194" s="90" t="s">
        <v>0</v>
      </c>
      <c r="G194" s="16">
        <v>781.13</v>
      </c>
      <c r="H194" s="22"/>
      <c r="I194" s="63">
        <v>1.53881</v>
      </c>
      <c r="J194" s="16">
        <v>166276.789473684</v>
      </c>
      <c r="K194" s="20">
        <v>15.058371236807096</v>
      </c>
      <c r="L194" s="2"/>
      <c r="M194" s="4"/>
      <c r="N194" s="4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</row>
    <row r="195" spans="1:92" ht="18" customHeight="1" hidden="1">
      <c r="A195" s="104" t="s">
        <v>90</v>
      </c>
      <c r="B195" s="112">
        <v>13</v>
      </c>
      <c r="C195" s="83">
        <v>15.5</v>
      </c>
      <c r="D195" s="83">
        <v>9</v>
      </c>
      <c r="E195" s="113">
        <v>18.5</v>
      </c>
      <c r="F195" s="88" t="s">
        <v>0</v>
      </c>
      <c r="G195" s="89">
        <v>745.33</v>
      </c>
      <c r="H195" s="45"/>
      <c r="I195" s="84">
        <v>1.58905</v>
      </c>
      <c r="J195" s="89">
        <v>120342.285714286</v>
      </c>
      <c r="K195" s="25">
        <v>13.4</v>
      </c>
      <c r="L195" s="2"/>
      <c r="M195" s="4"/>
      <c r="N195" s="4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</row>
    <row r="196" spans="1:92" ht="18" customHeight="1" hidden="1">
      <c r="A196" s="85">
        <v>2</v>
      </c>
      <c r="B196" s="77">
        <v>11.5</v>
      </c>
      <c r="C196" s="80">
        <v>14</v>
      </c>
      <c r="D196" s="80">
        <v>7.5</v>
      </c>
      <c r="E196" s="82">
        <v>17</v>
      </c>
      <c r="F196" s="90" t="s">
        <v>0</v>
      </c>
      <c r="G196" s="16">
        <v>376.63</v>
      </c>
      <c r="H196" s="22"/>
      <c r="I196" s="63">
        <v>1.65236</v>
      </c>
      <c r="J196" s="16">
        <v>122253.6</v>
      </c>
      <c r="K196" s="20">
        <f>AVERAGE(K176:K195)</f>
        <v>15.804793787147972</v>
      </c>
      <c r="L196" s="2"/>
      <c r="M196" s="4"/>
      <c r="N196" s="4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</row>
    <row r="197" spans="1:92" ht="18" customHeight="1" hidden="1">
      <c r="A197" s="85">
        <v>3</v>
      </c>
      <c r="B197" s="77">
        <v>10.5</v>
      </c>
      <c r="C197" s="80">
        <v>13</v>
      </c>
      <c r="D197" s="80">
        <v>6.5</v>
      </c>
      <c r="E197" s="82">
        <v>16</v>
      </c>
      <c r="F197" s="90" t="s">
        <v>0</v>
      </c>
      <c r="G197" s="16">
        <v>589.40246312</v>
      </c>
      <c r="H197" s="22"/>
      <c r="I197" s="63">
        <v>1.70454</v>
      </c>
      <c r="J197" s="16">
        <v>129799.318181818</v>
      </c>
      <c r="K197" s="20">
        <v>10.908636363636363</v>
      </c>
      <c r="L197" s="2"/>
      <c r="M197" s="4"/>
      <c r="N197" s="4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</row>
    <row r="198" spans="1:92" ht="18" customHeight="1" hidden="1">
      <c r="A198" s="85">
        <v>4</v>
      </c>
      <c r="B198" s="77">
        <v>9.75</v>
      </c>
      <c r="C198" s="80">
        <v>12.25</v>
      </c>
      <c r="D198" s="80">
        <v>5.75</v>
      </c>
      <c r="E198" s="82">
        <v>15.25</v>
      </c>
      <c r="F198" s="90" t="s">
        <v>0</v>
      </c>
      <c r="G198" s="16">
        <v>2885.92</v>
      </c>
      <c r="H198" s="22"/>
      <c r="I198" s="63">
        <v>1.60415</v>
      </c>
      <c r="J198" s="16">
        <v>125743.571428571</v>
      </c>
      <c r="K198" s="20">
        <v>9.59142857142857</v>
      </c>
      <c r="L198" s="2"/>
      <c r="M198" s="4"/>
      <c r="N198" s="4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</row>
    <row r="199" spans="1:92" ht="18" customHeight="1" hidden="1">
      <c r="A199" s="85">
        <v>5</v>
      </c>
      <c r="B199" s="77">
        <v>9.25</v>
      </c>
      <c r="C199" s="80">
        <v>11.75</v>
      </c>
      <c r="D199" s="80">
        <v>5.25</v>
      </c>
      <c r="E199" s="82">
        <v>14.75</v>
      </c>
      <c r="F199" s="90" t="s">
        <v>0</v>
      </c>
      <c r="G199" s="16">
        <v>116.76</v>
      </c>
      <c r="H199" s="22"/>
      <c r="I199" s="63">
        <v>1.55176</v>
      </c>
      <c r="J199" s="16">
        <v>158170.684210526</v>
      </c>
      <c r="K199" s="20">
        <v>8.644014652121108</v>
      </c>
      <c r="L199" s="2"/>
      <c r="M199" s="4"/>
      <c r="N199" s="4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</row>
    <row r="200" spans="1:92" ht="18" customHeight="1" hidden="1">
      <c r="A200" s="85">
        <v>6</v>
      </c>
      <c r="B200" s="77">
        <v>8.75</v>
      </c>
      <c r="C200" s="80">
        <v>11.25</v>
      </c>
      <c r="D200" s="80">
        <v>4.75</v>
      </c>
      <c r="E200" s="82">
        <v>14.25</v>
      </c>
      <c r="F200" s="90" t="s">
        <v>0</v>
      </c>
      <c r="G200" s="16">
        <v>661.31406598</v>
      </c>
      <c r="H200" s="22"/>
      <c r="I200" s="63">
        <v>1.53978</v>
      </c>
      <c r="J200" s="16">
        <v>142818.681818182</v>
      </c>
      <c r="K200" s="20">
        <v>8.239065984060977</v>
      </c>
      <c r="L200" s="2"/>
      <c r="M200" s="4"/>
      <c r="N200" s="4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</row>
    <row r="201" spans="1:92" ht="18" customHeight="1" hidden="1">
      <c r="A201" s="85">
        <v>7</v>
      </c>
      <c r="B201" s="77">
        <v>8.25</v>
      </c>
      <c r="C201" s="80">
        <v>10.75</v>
      </c>
      <c r="D201" s="80">
        <v>4.25</v>
      </c>
      <c r="E201" s="82">
        <v>13.75</v>
      </c>
      <c r="F201" s="90" t="s">
        <v>0</v>
      </c>
      <c r="G201" s="16">
        <v>201.23297012</v>
      </c>
      <c r="H201" s="22"/>
      <c r="I201" s="63">
        <v>1.5137</v>
      </c>
      <c r="J201" s="17">
        <v>152395.565217391</v>
      </c>
      <c r="K201" s="20">
        <v>8.02</v>
      </c>
      <c r="L201" s="2"/>
      <c r="M201" s="4"/>
      <c r="N201" s="4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</row>
    <row r="202" spans="1:92" ht="18" customHeight="1" hidden="1">
      <c r="A202" s="85">
        <v>8</v>
      </c>
      <c r="B202" s="77">
        <v>7.75</v>
      </c>
      <c r="C202" s="80">
        <v>10.25</v>
      </c>
      <c r="D202" s="80">
        <v>3.75</v>
      </c>
      <c r="E202" s="82">
        <v>13.25</v>
      </c>
      <c r="F202" s="90" t="s">
        <v>0</v>
      </c>
      <c r="G202" s="16">
        <v>2027.86415366</v>
      </c>
      <c r="H202" s="22"/>
      <c r="I202" s="63">
        <v>1.4792</v>
      </c>
      <c r="J202" s="17">
        <v>174897.19047619</v>
      </c>
      <c r="K202" s="20">
        <v>7.56</v>
      </c>
      <c r="L202" s="2"/>
      <c r="M202" s="4"/>
      <c r="N202" s="4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</row>
    <row r="203" spans="1:92" ht="18" customHeight="1" hidden="1">
      <c r="A203" s="85">
        <v>9</v>
      </c>
      <c r="B203" s="77">
        <v>7.25</v>
      </c>
      <c r="C203" s="80">
        <v>9.25</v>
      </c>
      <c r="D203" s="80">
        <v>3.25</v>
      </c>
      <c r="E203" s="82">
        <v>12.75</v>
      </c>
      <c r="F203" s="90" t="s">
        <v>0</v>
      </c>
      <c r="G203" s="16">
        <v>1769.55394392</v>
      </c>
      <c r="H203" s="22"/>
      <c r="I203" s="63">
        <v>1.4852</v>
      </c>
      <c r="J203" s="17">
        <v>168865.65</v>
      </c>
      <c r="K203" s="20">
        <v>7.18</v>
      </c>
      <c r="L203" s="2"/>
      <c r="M203" s="4"/>
      <c r="N203" s="4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</row>
    <row r="204" spans="1:92" ht="18" customHeight="1" hidden="1">
      <c r="A204" s="85">
        <v>10</v>
      </c>
      <c r="B204" s="77">
        <v>6.75</v>
      </c>
      <c r="C204" s="80">
        <v>9.25</v>
      </c>
      <c r="D204" s="80">
        <v>2.75</v>
      </c>
      <c r="E204" s="82">
        <v>12.25</v>
      </c>
      <c r="F204" s="90" t="s">
        <v>0</v>
      </c>
      <c r="G204" s="16">
        <v>1720.0497863399999</v>
      </c>
      <c r="H204" s="22"/>
      <c r="I204" s="63">
        <v>1.4614</v>
      </c>
      <c r="J204" s="17">
        <v>176507</v>
      </c>
      <c r="K204" s="20">
        <v>6.77</v>
      </c>
      <c r="L204" s="2"/>
      <c r="M204" s="4"/>
      <c r="N204" s="4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</row>
    <row r="205" spans="1:92" ht="18" customHeight="1" hidden="1">
      <c r="A205" s="85">
        <v>11</v>
      </c>
      <c r="B205" s="77">
        <v>6.5</v>
      </c>
      <c r="C205" s="80">
        <v>9</v>
      </c>
      <c r="D205" s="80">
        <v>2.5</v>
      </c>
      <c r="E205" s="82">
        <v>12</v>
      </c>
      <c r="F205" s="90" t="s">
        <v>0</v>
      </c>
      <c r="G205" s="16">
        <v>1417</v>
      </c>
      <c r="H205" s="22"/>
      <c r="I205" s="63">
        <v>1.48</v>
      </c>
      <c r="J205" s="17">
        <v>188328.26315789475</v>
      </c>
      <c r="K205" s="20">
        <v>6.38</v>
      </c>
      <c r="L205" s="2"/>
      <c r="M205" s="4"/>
      <c r="N205" s="4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</row>
    <row r="206" spans="1:92" ht="18" customHeight="1">
      <c r="A206" s="85" t="s">
        <v>112</v>
      </c>
      <c r="B206" s="77">
        <v>6.5</v>
      </c>
      <c r="C206" s="80">
        <v>9</v>
      </c>
      <c r="D206" s="80">
        <v>2.5</v>
      </c>
      <c r="E206" s="82">
        <v>12</v>
      </c>
      <c r="F206" s="90"/>
      <c r="G206" s="16">
        <v>2275.5965219800005</v>
      </c>
      <c r="H206" s="22"/>
      <c r="I206" s="63">
        <v>1.49951</v>
      </c>
      <c r="J206" s="17">
        <v>174428.086956522</v>
      </c>
      <c r="K206" s="20">
        <v>6.23</v>
      </c>
      <c r="L206" s="2"/>
      <c r="M206" s="4"/>
      <c r="N206" s="4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</row>
    <row r="207" spans="1:92" ht="18" customHeight="1" hidden="1">
      <c r="A207" s="85" t="s">
        <v>94</v>
      </c>
      <c r="B207" s="77">
        <v>6.5</v>
      </c>
      <c r="C207" s="80">
        <v>9</v>
      </c>
      <c r="D207" s="80">
        <v>2.5</v>
      </c>
      <c r="E207" s="82">
        <v>12</v>
      </c>
      <c r="F207" s="90"/>
      <c r="G207" s="16">
        <v>1684.5684959999999</v>
      </c>
      <c r="H207" s="22"/>
      <c r="I207" s="63">
        <v>1.46632</v>
      </c>
      <c r="J207" s="17">
        <v>160335.571428571</v>
      </c>
      <c r="K207" s="20">
        <v>6.03</v>
      </c>
      <c r="L207" s="2"/>
      <c r="M207" s="4"/>
      <c r="N207" s="4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</row>
    <row r="208" spans="1:92" ht="18" customHeight="1" hidden="1">
      <c r="A208" s="85">
        <v>2</v>
      </c>
      <c r="B208" s="77">
        <v>6.5</v>
      </c>
      <c r="C208" s="80">
        <v>9</v>
      </c>
      <c r="D208" s="80">
        <v>2.5</v>
      </c>
      <c r="E208" s="82">
        <v>12</v>
      </c>
      <c r="F208" s="90"/>
      <c r="G208" s="16">
        <v>2288.0869298</v>
      </c>
      <c r="H208" s="22"/>
      <c r="I208" s="63">
        <v>1.50556</v>
      </c>
      <c r="J208" s="17">
        <v>155824.4</v>
      </c>
      <c r="K208" s="20">
        <v>6.06</v>
      </c>
      <c r="L208" s="2"/>
      <c r="M208" s="4"/>
      <c r="N208" s="4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</row>
    <row r="209" spans="1:92" ht="18" customHeight="1" hidden="1">
      <c r="A209" s="85">
        <v>3</v>
      </c>
      <c r="B209" s="77">
        <v>6.5</v>
      </c>
      <c r="C209" s="80">
        <v>9</v>
      </c>
      <c r="D209" s="80">
        <v>2.5</v>
      </c>
      <c r="E209" s="82">
        <v>12</v>
      </c>
      <c r="F209" s="90"/>
      <c r="G209" s="16">
        <v>2390.23355482</v>
      </c>
      <c r="H209" s="22"/>
      <c r="I209" s="63">
        <v>1.52831</v>
      </c>
      <c r="J209" s="17">
        <v>175530.52173913</v>
      </c>
      <c r="K209" s="20">
        <v>5.94</v>
      </c>
      <c r="L209" s="2"/>
      <c r="M209" s="4"/>
      <c r="N209" s="4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</row>
    <row r="210" spans="1:92" ht="18" customHeight="1" hidden="1">
      <c r="A210" s="85">
        <v>4</v>
      </c>
      <c r="B210" s="77">
        <v>6.5</v>
      </c>
      <c r="C210" s="80">
        <v>9</v>
      </c>
      <c r="D210" s="80">
        <v>2.5</v>
      </c>
      <c r="E210" s="82">
        <v>12</v>
      </c>
      <c r="F210" s="90"/>
      <c r="G210" s="16">
        <v>2119.815098</v>
      </c>
      <c r="H210" s="22"/>
      <c r="I210" s="63">
        <v>1.48787</v>
      </c>
      <c r="J210" s="17">
        <v>169568</v>
      </c>
      <c r="K210" s="20">
        <v>5.86</v>
      </c>
      <c r="L210" s="2"/>
      <c r="M210" s="4"/>
      <c r="N210" s="4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</row>
    <row r="211" spans="1:92" ht="18" customHeight="1" hidden="1">
      <c r="A211" s="85">
        <v>5</v>
      </c>
      <c r="B211" s="77">
        <v>6.5</v>
      </c>
      <c r="C211" s="80">
        <v>9</v>
      </c>
      <c r="D211" s="80">
        <v>2.5</v>
      </c>
      <c r="E211" s="82">
        <v>12</v>
      </c>
      <c r="F211" s="90"/>
      <c r="G211" s="16">
        <v>2361.4087379400003</v>
      </c>
      <c r="H211" s="22"/>
      <c r="I211" s="63">
        <v>1.53481</v>
      </c>
      <c r="J211" s="17">
        <v>227635.047619048</v>
      </c>
      <c r="K211" s="20">
        <v>6.53</v>
      </c>
      <c r="L211" s="2"/>
      <c r="M211" s="4"/>
      <c r="N211" s="4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</row>
    <row r="212" spans="1:92" ht="18" customHeight="1" hidden="1">
      <c r="A212" s="85">
        <v>6</v>
      </c>
      <c r="B212" s="77">
        <v>6.5</v>
      </c>
      <c r="C212" s="80">
        <v>9</v>
      </c>
      <c r="D212" s="80">
        <v>2.5</v>
      </c>
      <c r="E212" s="82">
        <v>12</v>
      </c>
      <c r="F212" s="90"/>
      <c r="G212" s="16">
        <v>2639.4651214999994</v>
      </c>
      <c r="H212" s="22"/>
      <c r="I212" s="63">
        <v>1.57029</v>
      </c>
      <c r="J212" s="17">
        <v>205442.409090909</v>
      </c>
      <c r="K212" s="20">
        <v>6.28</v>
      </c>
      <c r="L212" s="95"/>
      <c r="M212" s="95"/>
      <c r="N212" s="4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</row>
    <row r="213" spans="1:92" ht="18" customHeight="1" hidden="1">
      <c r="A213" s="85">
        <v>7</v>
      </c>
      <c r="B213" s="77">
        <v>6.5</v>
      </c>
      <c r="C213" s="80">
        <v>9</v>
      </c>
      <c r="D213" s="80">
        <v>2.5</v>
      </c>
      <c r="E213" s="82">
        <v>12</v>
      </c>
      <c r="F213" s="90"/>
      <c r="G213" s="16">
        <v>2031.534877</v>
      </c>
      <c r="H213" s="22"/>
      <c r="I213" s="63">
        <v>1.53631</v>
      </c>
      <c r="J213" s="17">
        <v>185878.318181818</v>
      </c>
      <c r="K213" s="20">
        <v>6.25</v>
      </c>
      <c r="L213" s="2"/>
      <c r="M213" s="4"/>
      <c r="N213" s="4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</row>
    <row r="214" spans="1:92" ht="18" customHeight="1" hidden="1">
      <c r="A214" s="85">
        <v>8</v>
      </c>
      <c r="B214" s="77">
        <v>6.5</v>
      </c>
      <c r="C214" s="80">
        <v>9</v>
      </c>
      <c r="D214" s="80">
        <v>2.5</v>
      </c>
      <c r="E214" s="82">
        <v>12</v>
      </c>
      <c r="F214" s="90"/>
      <c r="G214" s="16">
        <v>2315.8649203200002</v>
      </c>
      <c r="H214" s="22"/>
      <c r="I214" s="63">
        <v>1.50163</v>
      </c>
      <c r="J214" s="17">
        <v>205865.80952381</v>
      </c>
      <c r="K214" s="20">
        <v>6.41</v>
      </c>
      <c r="L214" s="2"/>
      <c r="M214" s="4"/>
      <c r="N214" s="4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</row>
    <row r="215" spans="1:92" ht="18" customHeight="1" hidden="1">
      <c r="A215" s="85">
        <v>9</v>
      </c>
      <c r="B215" s="77">
        <v>6.25</v>
      </c>
      <c r="C215" s="80">
        <v>8.75</v>
      </c>
      <c r="D215" s="80">
        <v>2.25</v>
      </c>
      <c r="E215" s="82">
        <v>11.75</v>
      </c>
      <c r="F215" s="90"/>
      <c r="G215" s="16">
        <v>2233.2375022200004</v>
      </c>
      <c r="H215" s="22"/>
      <c r="I215" s="63">
        <v>1.48892</v>
      </c>
      <c r="J215" s="17">
        <v>182506.409090909</v>
      </c>
      <c r="K215" s="20">
        <v>6.14</v>
      </c>
      <c r="L215" s="95"/>
      <c r="M215" s="4"/>
      <c r="N215" s="4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</row>
    <row r="216" spans="1:92" ht="18" customHeight="1" hidden="1">
      <c r="A216" s="85">
        <v>10</v>
      </c>
      <c r="B216" s="77">
        <v>5.75</v>
      </c>
      <c r="C216" s="80">
        <v>8.75</v>
      </c>
      <c r="D216" s="80">
        <v>1.75</v>
      </c>
      <c r="E216" s="82">
        <v>11.75</v>
      </c>
      <c r="F216" s="90"/>
      <c r="G216" s="16">
        <v>4515.33161924</v>
      </c>
      <c r="H216" s="22"/>
      <c r="I216" s="63">
        <v>1.41846</v>
      </c>
      <c r="J216" s="17">
        <v>172069.285714286</v>
      </c>
      <c r="K216" s="20">
        <v>6.34</v>
      </c>
      <c r="L216" s="2"/>
      <c r="M216" s="4"/>
      <c r="N216" s="4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</row>
    <row r="217" spans="1:92" ht="18" customHeight="1" hidden="1">
      <c r="A217" s="85">
        <v>11</v>
      </c>
      <c r="B217" s="77">
        <v>1.75</v>
      </c>
      <c r="C217" s="80">
        <v>8.75</v>
      </c>
      <c r="D217" s="80">
        <v>0</v>
      </c>
      <c r="E217" s="82">
        <v>11.75</v>
      </c>
      <c r="F217" s="90"/>
      <c r="G217" s="16">
        <v>3915.7164926999994</v>
      </c>
      <c r="H217" s="22"/>
      <c r="I217" s="63">
        <v>1.42953</v>
      </c>
      <c r="J217" s="17">
        <v>183008.545454545</v>
      </c>
      <c r="K217" s="20">
        <v>6.33</v>
      </c>
      <c r="L217" s="2"/>
      <c r="M217" s="95"/>
      <c r="N217" s="4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</row>
    <row r="218" spans="1:92" ht="18" customHeight="1">
      <c r="A218" s="46" t="s">
        <v>122</v>
      </c>
      <c r="B218" s="77">
        <v>1.5</v>
      </c>
      <c r="C218" s="80">
        <v>9</v>
      </c>
      <c r="D218" s="80">
        <v>0</v>
      </c>
      <c r="E218" s="82">
        <v>12</v>
      </c>
      <c r="F218" s="90"/>
      <c r="G218" s="16">
        <v>3445.6325087800005</v>
      </c>
      <c r="H218" s="22"/>
      <c r="I218" s="63">
        <v>1.51315</v>
      </c>
      <c r="J218" s="17">
        <v>202343.6</v>
      </c>
      <c r="K218" s="20">
        <v>5.85</v>
      </c>
      <c r="L218" s="4"/>
      <c r="M218" s="95"/>
      <c r="N218" s="4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</row>
    <row r="219" spans="1:92" ht="18" customHeight="1">
      <c r="A219" s="104" t="s">
        <v>95</v>
      </c>
      <c r="B219" s="114">
        <v>1.5</v>
      </c>
      <c r="C219" s="97">
        <v>9</v>
      </c>
      <c r="D219" s="97">
        <v>0</v>
      </c>
      <c r="E219" s="115">
        <v>12</v>
      </c>
      <c r="F219" s="99"/>
      <c r="G219" s="120">
        <v>1912.632714</v>
      </c>
      <c r="H219" s="98"/>
      <c r="I219" s="121">
        <v>1.55382</v>
      </c>
      <c r="J219" s="116">
        <v>213923</v>
      </c>
      <c r="K219" s="105">
        <v>5.97</v>
      </c>
      <c r="L219" s="4"/>
      <c r="M219" s="95"/>
      <c r="N219" s="4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</row>
    <row r="220" spans="1:92" ht="18" customHeight="1">
      <c r="A220" s="85">
        <v>2</v>
      </c>
      <c r="B220" s="77">
        <v>1.5</v>
      </c>
      <c r="C220" s="80">
        <v>9</v>
      </c>
      <c r="D220" s="80">
        <v>0</v>
      </c>
      <c r="E220" s="82">
        <v>12</v>
      </c>
      <c r="F220" s="90"/>
      <c r="G220" s="16">
        <v>1760.5913892199997</v>
      </c>
      <c r="H220" s="22"/>
      <c r="I220" s="63">
        <v>1.58283</v>
      </c>
      <c r="J220" s="17">
        <v>236700.35</v>
      </c>
      <c r="K220" s="20">
        <v>5.87</v>
      </c>
      <c r="L220" s="4"/>
      <c r="M220" s="95"/>
      <c r="N220" s="4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</row>
    <row r="221" spans="1:92" ht="18" customHeight="1">
      <c r="A221" s="85">
        <v>3</v>
      </c>
      <c r="B221" s="77">
        <v>1.5</v>
      </c>
      <c r="C221" s="80">
        <v>9</v>
      </c>
      <c r="D221" s="80">
        <v>0</v>
      </c>
      <c r="E221" s="82">
        <v>12</v>
      </c>
      <c r="F221" s="90"/>
      <c r="G221" s="16">
        <v>2328.64283702</v>
      </c>
      <c r="H221" s="22"/>
      <c r="I221" s="63">
        <v>1.57467</v>
      </c>
      <c r="J221" s="17">
        <v>255941.304347826</v>
      </c>
      <c r="K221" s="20">
        <v>6.16</v>
      </c>
      <c r="L221" s="4"/>
      <c r="M221" s="95"/>
      <c r="N221" s="4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</row>
    <row r="222" spans="1:92" ht="18" customHeight="1">
      <c r="A222" s="85">
        <v>4</v>
      </c>
      <c r="B222" s="77">
        <v>1.5</v>
      </c>
      <c r="C222" s="80">
        <v>9</v>
      </c>
      <c r="D222" s="80">
        <v>0</v>
      </c>
      <c r="E222" s="82">
        <v>12</v>
      </c>
      <c r="F222" s="90"/>
      <c r="G222" s="16">
        <v>2115.25744016</v>
      </c>
      <c r="H222" s="22"/>
      <c r="I222" s="63">
        <v>1.51562</v>
      </c>
      <c r="J222" s="17">
        <v>294115.238095238</v>
      </c>
      <c r="K222" s="20">
        <v>6.36</v>
      </c>
      <c r="L222" s="4"/>
      <c r="M222" s="95"/>
      <c r="N222" s="4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</row>
    <row r="223" spans="1:92" ht="18" customHeight="1">
      <c r="A223" s="85">
        <v>5</v>
      </c>
      <c r="B223" s="77">
        <v>1.5</v>
      </c>
      <c r="C223" s="80">
        <v>9</v>
      </c>
      <c r="D223" s="80">
        <v>0</v>
      </c>
      <c r="E223" s="82">
        <v>12</v>
      </c>
      <c r="F223" s="90"/>
      <c r="G223" s="16">
        <v>2004.77684044</v>
      </c>
      <c r="H223" s="22"/>
      <c r="I223" s="63">
        <v>1.56416</v>
      </c>
      <c r="J223" s="17">
        <v>392073.380952381</v>
      </c>
      <c r="K223" s="20">
        <v>7.2</v>
      </c>
      <c r="L223" s="4"/>
      <c r="M223" s="95"/>
      <c r="N223" s="4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</row>
    <row r="224" spans="1:92" ht="18" customHeight="1">
      <c r="A224" s="85">
        <v>6</v>
      </c>
      <c r="B224" s="77">
        <v>1.5</v>
      </c>
      <c r="C224" s="80">
        <v>9</v>
      </c>
      <c r="D224" s="80">
        <v>0</v>
      </c>
      <c r="E224" s="82">
        <v>12</v>
      </c>
      <c r="F224" s="90"/>
      <c r="G224" s="16">
        <v>1754.9874770000001</v>
      </c>
      <c r="H224" s="22"/>
      <c r="I224" s="63">
        <v>1.59401</v>
      </c>
      <c r="J224" s="17">
        <v>374358.181818182</v>
      </c>
      <c r="K224" s="20">
        <v>7.25</v>
      </c>
      <c r="L224" s="4"/>
      <c r="M224" s="95"/>
      <c r="N224" s="4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</row>
    <row r="225" spans="1:92" ht="18" customHeight="1">
      <c r="A225" s="85">
        <v>7</v>
      </c>
      <c r="B225" s="77">
        <v>1.5</v>
      </c>
      <c r="C225" s="80">
        <v>9</v>
      </c>
      <c r="D225" s="80">
        <v>0</v>
      </c>
      <c r="E225" s="82">
        <v>12</v>
      </c>
      <c r="F225" s="90"/>
      <c r="G225" s="16">
        <v>945.22995012</v>
      </c>
      <c r="H225" s="22"/>
      <c r="I225" s="63">
        <v>1.64671</v>
      </c>
      <c r="J225" s="17">
        <v>397593.523809524</v>
      </c>
      <c r="K225" s="20">
        <v>7.5</v>
      </c>
      <c r="L225" s="4"/>
      <c r="M225" s="95"/>
      <c r="N225" s="4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</row>
    <row r="226" spans="1:92" ht="16.5" customHeight="1">
      <c r="A226" s="85">
        <v>8</v>
      </c>
      <c r="B226" s="77">
        <v>5</v>
      </c>
      <c r="C226" s="80">
        <v>9</v>
      </c>
      <c r="D226" s="80">
        <v>0</v>
      </c>
      <c r="E226" s="82">
        <v>12</v>
      </c>
      <c r="F226" s="90"/>
      <c r="G226" s="16">
        <v>2726.5197869999997</v>
      </c>
      <c r="H226" s="22"/>
      <c r="I226" s="63">
        <v>1.74424</v>
      </c>
      <c r="J226" s="17">
        <v>504121.952380952</v>
      </c>
      <c r="K226" s="20">
        <v>7.43</v>
      </c>
      <c r="L226" s="4"/>
      <c r="M226" s="95"/>
      <c r="N226" s="4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</row>
    <row r="227" spans="1:92" ht="16.5" customHeight="1">
      <c r="A227" s="85">
        <v>9</v>
      </c>
      <c r="B227" s="77">
        <v>5</v>
      </c>
      <c r="C227" s="80">
        <v>9</v>
      </c>
      <c r="D227" s="80">
        <v>0</v>
      </c>
      <c r="E227" s="82">
        <v>12</v>
      </c>
      <c r="F227" s="90"/>
      <c r="G227" s="16">
        <v>3405.9929330200007</v>
      </c>
      <c r="H227" s="22"/>
      <c r="I227" s="63">
        <v>1.78652</v>
      </c>
      <c r="J227" s="17">
        <v>494519.904761905</v>
      </c>
      <c r="K227" s="20">
        <v>7.1</v>
      </c>
      <c r="L227" s="4"/>
      <c r="M227" s="95"/>
      <c r="N227" s="4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</row>
    <row r="228" spans="1:92" ht="16.5" customHeight="1">
      <c r="A228" s="85">
        <v>10</v>
      </c>
      <c r="B228" s="77">
        <v>5</v>
      </c>
      <c r="C228" s="80">
        <v>12.5</v>
      </c>
      <c r="D228" s="80">
        <v>0</v>
      </c>
      <c r="E228" s="82">
        <v>15.5</v>
      </c>
      <c r="F228" s="90"/>
      <c r="G228" s="16">
        <v>9861.269273</v>
      </c>
      <c r="H228" s="22"/>
      <c r="I228" s="63">
        <v>1.82708</v>
      </c>
      <c r="J228" s="17">
        <v>545145.380952381</v>
      </c>
      <c r="K228" s="20">
        <v>8.2</v>
      </c>
      <c r="L228" s="4"/>
      <c r="M228" s="95"/>
      <c r="N228" s="4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</row>
    <row r="229" spans="1:92" ht="16.5" customHeight="1">
      <c r="A229" s="85">
        <v>11</v>
      </c>
      <c r="B229" s="77">
        <v>5</v>
      </c>
      <c r="C229" s="80">
        <v>12.5</v>
      </c>
      <c r="D229" s="80">
        <v>0</v>
      </c>
      <c r="E229" s="82">
        <v>15.5</v>
      </c>
      <c r="F229" s="90"/>
      <c r="G229" s="16">
        <v>3618.1626713</v>
      </c>
      <c r="H229" s="22"/>
      <c r="I229" s="63">
        <v>1.80378</v>
      </c>
      <c r="J229" s="17">
        <v>477548.052631579</v>
      </c>
      <c r="K229" s="20">
        <v>10.19</v>
      </c>
      <c r="L229" s="48"/>
      <c r="M229" s="4"/>
      <c r="N229" s="4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</row>
    <row r="230" spans="1:92" ht="18" customHeight="1">
      <c r="A230" s="129">
        <v>12</v>
      </c>
      <c r="B230" s="77">
        <v>5</v>
      </c>
      <c r="C230" s="80">
        <v>12.5</v>
      </c>
      <c r="D230" s="80">
        <v>0</v>
      </c>
      <c r="E230" s="82">
        <v>15.5</v>
      </c>
      <c r="F230" s="90"/>
      <c r="G230" s="16">
        <v>7271.325281000001</v>
      </c>
      <c r="H230" s="22"/>
      <c r="I230" s="63">
        <v>1.85885</v>
      </c>
      <c r="J230" s="17">
        <v>427028.318181818</v>
      </c>
      <c r="K230" s="20">
        <v>11.06</v>
      </c>
      <c r="N230" s="4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</row>
    <row r="231" spans="1:41" ht="18" customHeight="1">
      <c r="A231" s="127" t="s">
        <v>99</v>
      </c>
      <c r="B231" s="83">
        <v>5</v>
      </c>
      <c r="C231" s="83">
        <v>12.5</v>
      </c>
      <c r="D231" s="83">
        <v>0</v>
      </c>
      <c r="E231" s="113">
        <v>15.5</v>
      </c>
      <c r="F231" s="88"/>
      <c r="G231" s="134">
        <v>3296.99497156</v>
      </c>
      <c r="H231" s="45"/>
      <c r="I231" s="135">
        <v>1.83894</v>
      </c>
      <c r="J231" s="74">
        <v>420859.86363636365</v>
      </c>
      <c r="K231" s="25">
        <v>10.74</v>
      </c>
      <c r="N231" s="4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</row>
    <row r="232" spans="1:37" ht="18" customHeight="1">
      <c r="A232" s="128">
        <v>2</v>
      </c>
      <c r="B232" s="80">
        <v>5</v>
      </c>
      <c r="C232" s="80">
        <v>11.5</v>
      </c>
      <c r="D232" s="80">
        <v>0</v>
      </c>
      <c r="E232" s="82">
        <v>14.5</v>
      </c>
      <c r="F232" s="90"/>
      <c r="G232" s="131">
        <v>408.32136678</v>
      </c>
      <c r="H232" s="22"/>
      <c r="I232" s="132">
        <v>1.75109</v>
      </c>
      <c r="J232" s="33">
        <v>557669</v>
      </c>
      <c r="K232" s="20">
        <v>9.24</v>
      </c>
      <c r="N232" s="4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</row>
    <row r="233" spans="1:37" ht="18" customHeight="1">
      <c r="A233" s="129">
        <v>3</v>
      </c>
      <c r="B233" s="80">
        <v>5</v>
      </c>
      <c r="C233" s="80">
        <v>11.5</v>
      </c>
      <c r="D233" s="80">
        <v>0</v>
      </c>
      <c r="E233" s="82">
        <v>14.5</v>
      </c>
      <c r="F233" s="90"/>
      <c r="G233" s="131">
        <v>164.334838</v>
      </c>
      <c r="H233" s="22"/>
      <c r="I233" s="132">
        <v>1.7793</v>
      </c>
      <c r="J233" s="33">
        <v>633725.0909090908</v>
      </c>
      <c r="K233" s="20">
        <v>9.86</v>
      </c>
      <c r="N233" s="4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</row>
    <row r="234" spans="1:41" ht="18" customHeight="1">
      <c r="A234" s="128">
        <v>4</v>
      </c>
      <c r="B234" s="80">
        <v>5</v>
      </c>
      <c r="C234" s="80">
        <v>11.5</v>
      </c>
      <c r="D234" s="80">
        <v>0</v>
      </c>
      <c r="E234" s="82">
        <v>14.5</v>
      </c>
      <c r="F234" s="90"/>
      <c r="G234" s="131">
        <v>389.920361</v>
      </c>
      <c r="H234" s="22"/>
      <c r="I234" s="132">
        <v>1.77984</v>
      </c>
      <c r="J234" s="33">
        <v>663777.4</v>
      </c>
      <c r="K234" s="20">
        <v>10.29</v>
      </c>
      <c r="N234" s="4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</row>
    <row r="235" spans="1:41" ht="18" customHeight="1">
      <c r="A235" s="128">
        <v>5</v>
      </c>
      <c r="B235" s="80">
        <v>5</v>
      </c>
      <c r="C235" s="80">
        <v>11.5</v>
      </c>
      <c r="D235" s="80">
        <v>0</v>
      </c>
      <c r="E235" s="82">
        <v>14.5</v>
      </c>
      <c r="F235" s="90"/>
      <c r="G235" s="131">
        <v>659.2091272399998</v>
      </c>
      <c r="H235" s="22"/>
      <c r="I235" s="132">
        <v>1.79695</v>
      </c>
      <c r="J235" s="33">
        <v>748932.727</v>
      </c>
      <c r="K235" s="20">
        <v>10.55</v>
      </c>
      <c r="N235" s="4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</row>
    <row r="236" spans="1:41" ht="18" customHeight="1">
      <c r="A236" s="128">
        <v>6</v>
      </c>
      <c r="B236" s="80">
        <v>5</v>
      </c>
      <c r="C236" s="80">
        <v>11.5</v>
      </c>
      <c r="D236" s="80">
        <v>0</v>
      </c>
      <c r="E236" s="82">
        <v>14.5</v>
      </c>
      <c r="F236" s="90"/>
      <c r="G236" s="131">
        <v>589.6105405200001</v>
      </c>
      <c r="H236" s="22"/>
      <c r="I236" s="132">
        <v>1.81607</v>
      </c>
      <c r="J236" s="33">
        <v>748686.524</v>
      </c>
      <c r="K236" s="20">
        <v>10.22</v>
      </c>
      <c r="N236" s="4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</row>
    <row r="237" spans="1:41" ht="18" customHeight="1">
      <c r="A237" s="128">
        <v>7</v>
      </c>
      <c r="B237" s="80">
        <v>5</v>
      </c>
      <c r="C237" s="80">
        <v>11.5</v>
      </c>
      <c r="D237" s="80">
        <v>0</v>
      </c>
      <c r="E237" s="82">
        <v>14.5</v>
      </c>
      <c r="F237" s="90"/>
      <c r="G237" s="131">
        <v>177.56946814000003</v>
      </c>
      <c r="H237" s="22"/>
      <c r="I237" s="132">
        <v>1.80489</v>
      </c>
      <c r="J237" s="33">
        <v>716621.955</v>
      </c>
      <c r="K237" s="20">
        <v>8.22</v>
      </c>
      <c r="N237" s="4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</row>
    <row r="238" spans="1:41" ht="18" customHeight="1">
      <c r="A238" s="128">
        <v>8</v>
      </c>
      <c r="B238" s="80">
        <v>5</v>
      </c>
      <c r="C238" s="80">
        <v>11.5</v>
      </c>
      <c r="D238" s="80">
        <v>0</v>
      </c>
      <c r="E238" s="82">
        <v>14.5</v>
      </c>
      <c r="F238" s="90"/>
      <c r="G238" s="131">
        <v>75.30985577999999</v>
      </c>
      <c r="H238" s="22"/>
      <c r="I238" s="132">
        <v>1.78584</v>
      </c>
      <c r="J238" s="33">
        <v>822635.35</v>
      </c>
      <c r="K238" s="20">
        <v>6.66</v>
      </c>
      <c r="N238" s="4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</row>
    <row r="239" spans="1:41" ht="18" customHeight="1">
      <c r="A239" s="128">
        <v>9</v>
      </c>
      <c r="B239" s="80">
        <v>5</v>
      </c>
      <c r="C239" s="80">
        <v>10</v>
      </c>
      <c r="D239" s="80">
        <v>0</v>
      </c>
      <c r="E239" s="82">
        <v>13</v>
      </c>
      <c r="F239" s="90"/>
      <c r="G239" s="131">
        <v>100.60421264</v>
      </c>
      <c r="H239" s="22"/>
      <c r="I239" s="132">
        <v>1.79563</v>
      </c>
      <c r="J239" s="133">
        <v>817772.6</v>
      </c>
      <c r="K239" s="20">
        <v>6.08</v>
      </c>
      <c r="N239" s="4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</row>
    <row r="240" spans="1:41" ht="18" customHeight="1">
      <c r="A240" s="128">
        <v>10</v>
      </c>
      <c r="B240" s="80">
        <v>5</v>
      </c>
      <c r="C240" s="80">
        <v>9.5</v>
      </c>
      <c r="D240" s="80">
        <v>0</v>
      </c>
      <c r="E240" s="82">
        <v>12.5</v>
      </c>
      <c r="F240" s="90"/>
      <c r="G240" s="131">
        <v>124.24391672</v>
      </c>
      <c r="H240" s="22"/>
      <c r="I240" s="132">
        <v>1.79414</v>
      </c>
      <c r="J240" s="133">
        <v>934899.789</v>
      </c>
      <c r="K240" s="20">
        <v>5.97</v>
      </c>
      <c r="N240" s="4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</row>
    <row r="241" spans="1:11" ht="15.75">
      <c r="A241" s="128">
        <v>11</v>
      </c>
      <c r="B241" s="80">
        <v>5</v>
      </c>
      <c r="C241" s="80">
        <v>9</v>
      </c>
      <c r="D241" s="80">
        <v>0</v>
      </c>
      <c r="E241" s="82">
        <v>12</v>
      </c>
      <c r="F241" s="37"/>
      <c r="G241" s="131">
        <v>232.47306700000004</v>
      </c>
      <c r="H241" s="37"/>
      <c r="I241" s="132">
        <v>1.78545</v>
      </c>
      <c r="J241" s="133">
        <v>806953.682</v>
      </c>
      <c r="K241" s="20">
        <v>5.87</v>
      </c>
    </row>
    <row r="242" spans="1:11" ht="15.75">
      <c r="A242" s="128">
        <v>12</v>
      </c>
      <c r="B242" s="77">
        <v>5</v>
      </c>
      <c r="C242" s="80">
        <v>9</v>
      </c>
      <c r="D242" s="80">
        <v>0</v>
      </c>
      <c r="E242" s="82">
        <v>12</v>
      </c>
      <c r="F242" s="37"/>
      <c r="G242" s="131">
        <v>58.79495646000001</v>
      </c>
      <c r="H242" s="37"/>
      <c r="I242" s="132">
        <v>1.77909</v>
      </c>
      <c r="J242" s="133">
        <v>776188.952</v>
      </c>
      <c r="K242" s="20">
        <v>5.84</v>
      </c>
    </row>
    <row r="243" spans="1:11" ht="15.75">
      <c r="A243" s="127" t="s">
        <v>101</v>
      </c>
      <c r="B243" s="112">
        <v>4.75</v>
      </c>
      <c r="C243" s="83">
        <v>8.75</v>
      </c>
      <c r="D243" s="83">
        <v>0</v>
      </c>
      <c r="E243" s="113">
        <v>11.75</v>
      </c>
      <c r="F243" s="136"/>
      <c r="G243" s="89">
        <v>22.13</v>
      </c>
      <c r="H243" s="136"/>
      <c r="I243" s="138">
        <v>1.76386</v>
      </c>
      <c r="J243" s="87">
        <v>723512.13</v>
      </c>
      <c r="K243" s="25" t="s">
        <v>102</v>
      </c>
    </row>
    <row r="244" spans="1:11" ht="15.75">
      <c r="A244" s="128">
        <v>2</v>
      </c>
      <c r="B244" s="77">
        <v>4.5</v>
      </c>
      <c r="C244" s="80">
        <v>8.5</v>
      </c>
      <c r="D244" s="80">
        <v>0</v>
      </c>
      <c r="E244" s="82">
        <v>11.5</v>
      </c>
      <c r="F244" s="37"/>
      <c r="G244" s="16">
        <v>13.47283</v>
      </c>
      <c r="H244" s="37"/>
      <c r="I244" s="139">
        <v>1.76993</v>
      </c>
      <c r="J244" s="17">
        <v>796047.55</v>
      </c>
      <c r="K244" s="20" t="s">
        <v>103</v>
      </c>
    </row>
    <row r="245" spans="1:11" ht="15.75">
      <c r="A245" s="128">
        <v>3</v>
      </c>
      <c r="B245" s="77">
        <v>4.5</v>
      </c>
      <c r="C245" s="80">
        <v>7.5</v>
      </c>
      <c r="D245" s="80">
        <v>0</v>
      </c>
      <c r="E245" s="82">
        <v>10.5</v>
      </c>
      <c r="F245" s="37"/>
      <c r="G245" s="16">
        <v>20.92194</v>
      </c>
      <c r="H245" s="37"/>
      <c r="I245" s="139">
        <v>1.8072</v>
      </c>
      <c r="J245" s="17">
        <v>803049.7143</v>
      </c>
      <c r="K245" s="20" t="s">
        <v>104</v>
      </c>
    </row>
    <row r="246" spans="1:11" ht="15.75">
      <c r="A246" s="85">
        <v>4</v>
      </c>
      <c r="B246" s="77">
        <v>4</v>
      </c>
      <c r="C246" s="80">
        <v>7</v>
      </c>
      <c r="D246" s="80">
        <v>0</v>
      </c>
      <c r="E246" s="82">
        <v>10</v>
      </c>
      <c r="F246" s="37"/>
      <c r="G246" s="16">
        <v>17.91656</v>
      </c>
      <c r="H246" s="37"/>
      <c r="I246" s="139">
        <v>1.79647</v>
      </c>
      <c r="J246" s="17">
        <v>793696.363636364</v>
      </c>
      <c r="K246" s="20" t="s">
        <v>105</v>
      </c>
    </row>
    <row r="247" spans="1:11" ht="15.75">
      <c r="A247" s="85">
        <v>5</v>
      </c>
      <c r="B247" s="77">
        <v>3.5</v>
      </c>
      <c r="C247" s="80">
        <v>6.5</v>
      </c>
      <c r="D247" s="80">
        <v>0</v>
      </c>
      <c r="E247" s="82">
        <v>9.5</v>
      </c>
      <c r="F247" s="37"/>
      <c r="G247" s="16">
        <v>73.158162</v>
      </c>
      <c r="H247" s="37"/>
      <c r="I247" s="139">
        <v>1.82278</v>
      </c>
      <c r="J247" s="17">
        <v>856356.652</v>
      </c>
      <c r="K247" s="20" t="s">
        <v>106</v>
      </c>
    </row>
    <row r="248" spans="1:11" ht="15.75">
      <c r="A248" s="85">
        <v>6</v>
      </c>
      <c r="B248" s="77">
        <v>3.5</v>
      </c>
      <c r="C248" s="80">
        <v>7.25</v>
      </c>
      <c r="D248" s="80">
        <v>0</v>
      </c>
      <c r="E248" s="82">
        <v>9.5</v>
      </c>
      <c r="F248" s="37"/>
      <c r="G248" s="16">
        <v>3468.660139</v>
      </c>
      <c r="H248" s="37"/>
      <c r="I248" s="139">
        <v>1.89451</v>
      </c>
      <c r="J248" s="17">
        <v>1095490.8</v>
      </c>
      <c r="K248" s="82">
        <v>6.26</v>
      </c>
    </row>
    <row r="249" spans="1:11" ht="15.75">
      <c r="A249" s="85">
        <v>7</v>
      </c>
      <c r="B249" s="77">
        <v>3.5</v>
      </c>
      <c r="C249" s="80">
        <v>7.75</v>
      </c>
      <c r="D249" s="80">
        <v>0</v>
      </c>
      <c r="E249" s="82">
        <v>10.25</v>
      </c>
      <c r="F249" s="37"/>
      <c r="G249" s="16">
        <v>10345.230704</v>
      </c>
      <c r="H249" s="37"/>
      <c r="I249" s="139">
        <v>1.93048</v>
      </c>
      <c r="J249" s="17">
        <v>1032112.5652173912</v>
      </c>
      <c r="K249" s="82">
        <v>7.09</v>
      </c>
    </row>
    <row r="250" spans="1:11" ht="15.75">
      <c r="A250" s="85">
        <v>8</v>
      </c>
      <c r="B250" s="77">
        <v>3.5</v>
      </c>
      <c r="C250" s="80">
        <v>7.75</v>
      </c>
      <c r="D250" s="80">
        <v>0</v>
      </c>
      <c r="E250" s="82">
        <v>10.25</v>
      </c>
      <c r="F250" s="37"/>
      <c r="G250" s="16">
        <v>3951.914505</v>
      </c>
      <c r="H250" s="37"/>
      <c r="I250" s="139">
        <v>1.95471</v>
      </c>
      <c r="J250" s="17">
        <v>822725.0454545455</v>
      </c>
      <c r="K250" s="82">
        <v>7.22</v>
      </c>
    </row>
    <row r="251" spans="1:11" ht="15.75">
      <c r="A251" s="85">
        <v>9</v>
      </c>
      <c r="B251" s="77">
        <v>3.5</v>
      </c>
      <c r="C251" s="80">
        <v>7.75</v>
      </c>
      <c r="D251" s="80">
        <v>0</v>
      </c>
      <c r="E251" s="82">
        <v>10.25</v>
      </c>
      <c r="F251" s="37"/>
      <c r="G251" s="16">
        <v>3749.804824</v>
      </c>
      <c r="H251" s="37"/>
      <c r="I251" s="139">
        <v>2.01715</v>
      </c>
      <c r="J251" s="17">
        <v>984061.5238095238</v>
      </c>
      <c r="K251" s="82">
        <v>7.19</v>
      </c>
    </row>
    <row r="252" spans="1:11" ht="15.75">
      <c r="A252" s="85">
        <v>10</v>
      </c>
      <c r="B252" s="77">
        <v>3.5</v>
      </c>
      <c r="C252" s="80">
        <v>7.75</v>
      </c>
      <c r="D252" s="80">
        <v>0</v>
      </c>
      <c r="E252" s="82">
        <v>10.25</v>
      </c>
      <c r="F252" s="37"/>
      <c r="G252" s="16">
        <v>2788.431314</v>
      </c>
      <c r="H252" s="37"/>
      <c r="I252" s="139">
        <v>1.99032</v>
      </c>
      <c r="J252" s="17">
        <v>785718.2608695653</v>
      </c>
      <c r="K252" s="82">
        <v>7.15</v>
      </c>
    </row>
    <row r="253" spans="1:11" ht="15.75">
      <c r="A253" s="85">
        <v>11</v>
      </c>
      <c r="B253" s="77">
        <v>3.5</v>
      </c>
      <c r="C253" s="80">
        <v>7.75</v>
      </c>
      <c r="D253" s="80">
        <v>0</v>
      </c>
      <c r="E253" s="82">
        <v>10.25</v>
      </c>
      <c r="F253" s="37"/>
      <c r="G253" s="16">
        <v>4321.12</v>
      </c>
      <c r="H253" s="37"/>
      <c r="I253" s="139">
        <v>2.02175</v>
      </c>
      <c r="J253" s="17">
        <v>1102973.19047619</v>
      </c>
      <c r="K253" s="82">
        <v>7.85</v>
      </c>
    </row>
    <row r="254" spans="1:11" ht="15.75">
      <c r="A254" s="106">
        <v>12</v>
      </c>
      <c r="B254" s="110">
        <v>3.5</v>
      </c>
      <c r="C254" s="81">
        <v>7.75</v>
      </c>
      <c r="D254" s="81">
        <v>0</v>
      </c>
      <c r="E254" s="111">
        <v>10.25</v>
      </c>
      <c r="F254" s="130"/>
      <c r="G254" s="9">
        <v>9423.62</v>
      </c>
      <c r="H254" s="130"/>
      <c r="I254" s="137">
        <v>2.05784</v>
      </c>
      <c r="J254" s="86">
        <v>989377.045454545</v>
      </c>
      <c r="K254" s="111">
        <v>7.62</v>
      </c>
    </row>
    <row r="255" spans="1:11" ht="15.75">
      <c r="A255" s="107" t="s">
        <v>110</v>
      </c>
      <c r="B255" s="112">
        <v>8</v>
      </c>
      <c r="C255" s="83">
        <v>12</v>
      </c>
      <c r="D255" s="83">
        <v>0</v>
      </c>
      <c r="E255" s="113">
        <v>15</v>
      </c>
      <c r="F255" s="136"/>
      <c r="G255" s="140">
        <v>5246.796198</v>
      </c>
      <c r="H255" s="136"/>
      <c r="I255" s="84">
        <v>2.21684</v>
      </c>
      <c r="J255" s="74">
        <v>1016852.6</v>
      </c>
      <c r="K255" s="113">
        <v>8.03</v>
      </c>
    </row>
    <row r="256" spans="1:11" ht="15.75">
      <c r="A256" s="85">
        <v>2</v>
      </c>
      <c r="B256" s="77">
        <v>8</v>
      </c>
      <c r="C256" s="80">
        <v>12</v>
      </c>
      <c r="D256" s="80">
        <v>0</v>
      </c>
      <c r="E256" s="82">
        <v>15</v>
      </c>
      <c r="F256" s="37"/>
      <c r="G256" s="119">
        <v>2025.433024</v>
      </c>
      <c r="H256" s="37"/>
      <c r="I256" s="63">
        <v>2.21276</v>
      </c>
      <c r="J256" s="33">
        <v>912261.75</v>
      </c>
      <c r="K256" s="82">
        <v>10.75</v>
      </c>
    </row>
    <row r="257" spans="1:11" ht="15.75">
      <c r="A257" s="85">
        <v>3</v>
      </c>
      <c r="B257" s="77">
        <v>8</v>
      </c>
      <c r="C257" s="80">
        <v>12</v>
      </c>
      <c r="D257" s="80">
        <v>0</v>
      </c>
      <c r="E257" s="82">
        <v>15</v>
      </c>
      <c r="F257" s="37"/>
      <c r="G257" s="119">
        <v>2122.397118</v>
      </c>
      <c r="H257" s="37"/>
      <c r="I257" s="63">
        <v>2.2178</v>
      </c>
      <c r="J257" s="33">
        <v>948061.1428571428</v>
      </c>
      <c r="K257" s="82">
        <v>11.27</v>
      </c>
    </row>
    <row r="258" spans="1:11" ht="15.75">
      <c r="A258" s="85">
        <v>4</v>
      </c>
      <c r="B258" s="77">
        <v>8</v>
      </c>
      <c r="C258" s="80">
        <v>12</v>
      </c>
      <c r="D258" s="80">
        <v>0</v>
      </c>
      <c r="E258" s="82">
        <v>13.5</v>
      </c>
      <c r="F258" s="37"/>
      <c r="G258" s="119">
        <v>2068.937448</v>
      </c>
      <c r="H258" s="37"/>
      <c r="I258" s="63">
        <v>2.127471428571429</v>
      </c>
      <c r="J258" s="33">
        <v>908630.318181818</v>
      </c>
      <c r="K258" s="82">
        <v>10.52</v>
      </c>
    </row>
    <row r="259" spans="1:11" ht="15.75">
      <c r="A259" s="85">
        <v>5</v>
      </c>
      <c r="B259" s="77">
        <v>8</v>
      </c>
      <c r="C259" s="80">
        <v>12</v>
      </c>
      <c r="D259" s="80">
        <v>0</v>
      </c>
      <c r="E259" s="82">
        <v>13.5</v>
      </c>
      <c r="F259" s="37"/>
      <c r="G259" s="119">
        <v>1026.543412</v>
      </c>
      <c r="H259" s="37"/>
      <c r="I259" s="63">
        <v>2.090805</v>
      </c>
      <c r="J259" s="33">
        <v>806221.090909091</v>
      </c>
      <c r="K259" s="82">
        <v>10.08</v>
      </c>
    </row>
    <row r="260" spans="1:11" ht="15.75">
      <c r="A260" s="85">
        <v>6</v>
      </c>
      <c r="B260" s="77">
        <v>8</v>
      </c>
      <c r="C260" s="80">
        <v>12</v>
      </c>
      <c r="D260" s="80">
        <v>0</v>
      </c>
      <c r="E260" s="82">
        <v>13.5</v>
      </c>
      <c r="F260" s="37"/>
      <c r="G260" s="119">
        <v>865.456343</v>
      </c>
      <c r="H260" s="37"/>
      <c r="I260" s="63">
        <v>2.1157238095238093</v>
      </c>
      <c r="J260" s="33">
        <v>1001551.52380952</v>
      </c>
      <c r="K260" s="82">
        <v>9.27</v>
      </c>
    </row>
    <row r="261" spans="1:11" ht="15.75">
      <c r="A261" s="85">
        <v>7</v>
      </c>
      <c r="B261" s="77">
        <v>7.5</v>
      </c>
      <c r="C261" s="80">
        <v>12</v>
      </c>
      <c r="D261" s="80">
        <v>0</v>
      </c>
      <c r="E261" s="82">
        <v>13.5</v>
      </c>
      <c r="F261" s="37"/>
      <c r="G261" s="119">
        <v>795.7</v>
      </c>
      <c r="H261" s="37"/>
      <c r="I261" s="63">
        <v>2.11868</v>
      </c>
      <c r="J261" s="33">
        <v>819085</v>
      </c>
      <c r="K261" s="82">
        <v>8.3</v>
      </c>
    </row>
    <row r="262" spans="1:11" ht="15.75">
      <c r="A262" s="85">
        <v>8</v>
      </c>
      <c r="B262" s="77">
        <v>7.5</v>
      </c>
      <c r="C262" s="80">
        <v>11.25</v>
      </c>
      <c r="D262" s="80">
        <v>0</v>
      </c>
      <c r="E262" s="82">
        <v>12.75</v>
      </c>
      <c r="F262" s="37"/>
      <c r="G262" s="119">
        <v>449.8</v>
      </c>
      <c r="H262" s="37"/>
      <c r="I262" s="63">
        <v>2.15827</v>
      </c>
      <c r="J262" s="33">
        <v>1033187</v>
      </c>
      <c r="K262" s="82">
        <v>8.36</v>
      </c>
    </row>
    <row r="263" spans="1:11" ht="15.75">
      <c r="A263" s="85">
        <v>9</v>
      </c>
      <c r="B263" s="77">
        <v>7.5</v>
      </c>
      <c r="C263" s="80">
        <v>11.25</v>
      </c>
      <c r="D263" s="80">
        <v>0</v>
      </c>
      <c r="E263" s="82">
        <v>12.75</v>
      </c>
      <c r="F263" s="37"/>
      <c r="G263" s="119">
        <v>644.8</v>
      </c>
      <c r="H263" s="37"/>
      <c r="I263" s="63">
        <v>2.20358</v>
      </c>
      <c r="J263" s="33">
        <v>927171</v>
      </c>
      <c r="K263" s="82">
        <v>8.62</v>
      </c>
    </row>
    <row r="264" spans="1:11" ht="15.75">
      <c r="A264" s="85">
        <v>10</v>
      </c>
      <c r="B264" s="77">
        <v>7.5</v>
      </c>
      <c r="C264" s="80">
        <v>11.25</v>
      </c>
      <c r="D264" s="80">
        <v>0</v>
      </c>
      <c r="E264" s="82">
        <v>12.75</v>
      </c>
      <c r="F264" s="37"/>
      <c r="G264" s="119">
        <v>1459.613626</v>
      </c>
      <c r="H264" s="37"/>
      <c r="I264" s="63">
        <v>2.25831</v>
      </c>
      <c r="J264" s="33">
        <v>744575.826</v>
      </c>
      <c r="K264" s="82">
        <v>9.73</v>
      </c>
    </row>
    <row r="265" spans="1:11" ht="15.75">
      <c r="A265" s="85">
        <v>11</v>
      </c>
      <c r="B265" s="77">
        <v>7.5</v>
      </c>
      <c r="C265" s="80">
        <v>11.25</v>
      </c>
      <c r="D265" s="80">
        <v>0</v>
      </c>
      <c r="E265" s="82">
        <v>12.75</v>
      </c>
      <c r="F265" s="37"/>
      <c r="G265" s="119">
        <v>1629.017188</v>
      </c>
      <c r="H265" s="37"/>
      <c r="I265" s="63">
        <v>2.23358</v>
      </c>
      <c r="J265" s="33">
        <v>937127.7</v>
      </c>
      <c r="K265" s="82">
        <v>9.08</v>
      </c>
    </row>
    <row r="266" spans="1:11" ht="15.75">
      <c r="A266" s="106">
        <v>12</v>
      </c>
      <c r="B266" s="110">
        <v>7.5</v>
      </c>
      <c r="C266" s="81">
        <v>11.25</v>
      </c>
      <c r="D266" s="81">
        <v>0</v>
      </c>
      <c r="E266" s="111">
        <v>12.75</v>
      </c>
      <c r="F266" s="130"/>
      <c r="G266" s="141">
        <v>1927.849141</v>
      </c>
      <c r="H266" s="130"/>
      <c r="I266" s="68">
        <v>2.28767</v>
      </c>
      <c r="J266" s="23">
        <v>900492.13</v>
      </c>
      <c r="K266" s="111">
        <v>9.84</v>
      </c>
    </row>
    <row r="267" spans="1:11" ht="15.75">
      <c r="A267" s="107" t="s">
        <v>111</v>
      </c>
      <c r="B267" s="112">
        <v>7.5</v>
      </c>
      <c r="C267" s="83">
        <v>11.25</v>
      </c>
      <c r="D267" s="83">
        <v>0</v>
      </c>
      <c r="E267" s="113">
        <v>12.75</v>
      </c>
      <c r="F267" s="136"/>
      <c r="G267" s="140">
        <v>1722.573149</v>
      </c>
      <c r="H267" s="136"/>
      <c r="I267" s="84">
        <v>2.32834</v>
      </c>
      <c r="J267" s="87">
        <v>838450.227272727</v>
      </c>
      <c r="K267" s="113">
        <v>9.83</v>
      </c>
    </row>
    <row r="268" spans="1:11" ht="13.5" customHeight="1">
      <c r="A268" s="85">
        <v>2</v>
      </c>
      <c r="B268" s="77">
        <v>7.25</v>
      </c>
      <c r="C268" s="80">
        <v>10.75</v>
      </c>
      <c r="D268" s="80">
        <v>0</v>
      </c>
      <c r="E268" s="82">
        <v>12.25</v>
      </c>
      <c r="F268" s="37"/>
      <c r="G268" s="119">
        <v>1668.235042</v>
      </c>
      <c r="H268" s="37"/>
      <c r="I268" s="63">
        <v>2.45523</v>
      </c>
      <c r="J268" s="17">
        <v>925977.15</v>
      </c>
      <c r="K268" s="82">
        <v>9.96</v>
      </c>
    </row>
    <row r="269" spans="1:11" ht="15.75">
      <c r="A269" s="85">
        <v>3</v>
      </c>
      <c r="B269" s="77">
        <v>7.25</v>
      </c>
      <c r="C269" s="80">
        <v>10.75</v>
      </c>
      <c r="D269" s="80">
        <v>0</v>
      </c>
      <c r="E269" s="82">
        <v>12.25</v>
      </c>
      <c r="F269" s="37"/>
      <c r="G269" s="119">
        <v>2172.402027</v>
      </c>
      <c r="H269" s="37"/>
      <c r="I269" s="63">
        <v>2.58384</v>
      </c>
      <c r="J269" s="17">
        <v>817164</v>
      </c>
      <c r="K269" s="82">
        <v>9.73</v>
      </c>
    </row>
    <row r="270" spans="1:11" ht="15.75">
      <c r="A270" s="85">
        <v>4</v>
      </c>
      <c r="B270" s="77">
        <v>7.25</v>
      </c>
      <c r="C270" s="80">
        <v>10.75</v>
      </c>
      <c r="D270" s="80">
        <v>0</v>
      </c>
      <c r="E270" s="82">
        <v>12.25</v>
      </c>
      <c r="F270" s="37"/>
      <c r="G270" s="119">
        <v>1825.108168</v>
      </c>
      <c r="H270" s="37"/>
      <c r="I270" s="63">
        <v>2.64814</v>
      </c>
      <c r="J270" s="17">
        <v>845484.045454545</v>
      </c>
      <c r="K270" s="82">
        <v>10.38</v>
      </c>
    </row>
    <row r="271" spans="1:11" ht="15.75">
      <c r="A271" s="85">
        <v>5</v>
      </c>
      <c r="B271" s="77">
        <v>7.25</v>
      </c>
      <c r="C271" s="80">
        <v>10.75</v>
      </c>
      <c r="D271" s="80">
        <v>0</v>
      </c>
      <c r="E271" s="82">
        <v>12.25</v>
      </c>
      <c r="F271" s="37"/>
      <c r="G271" s="119">
        <v>1675.847574</v>
      </c>
      <c r="H271" s="37"/>
      <c r="I271" s="63">
        <v>2.64614</v>
      </c>
      <c r="J271" s="17">
        <v>860506.047619048</v>
      </c>
      <c r="K271" s="82">
        <v>10.8</v>
      </c>
    </row>
    <row r="272" spans="1:11" ht="15.75">
      <c r="A272" s="85">
        <v>6</v>
      </c>
      <c r="B272" s="77">
        <v>7.25</v>
      </c>
      <c r="C272" s="80">
        <v>10.75</v>
      </c>
      <c r="D272" s="80">
        <v>0</v>
      </c>
      <c r="E272" s="82">
        <v>12.25</v>
      </c>
      <c r="F272" s="37"/>
      <c r="G272" s="119">
        <v>1956.086326</v>
      </c>
      <c r="H272" s="37"/>
      <c r="I272" s="63">
        <v>2.70116</v>
      </c>
      <c r="J272" s="17">
        <v>1016601.72727273</v>
      </c>
      <c r="K272" s="82">
        <v>10.86</v>
      </c>
    </row>
    <row r="273" spans="1:11" s="37" customFormat="1" ht="13.5" customHeight="1">
      <c r="A273" s="85">
        <v>7</v>
      </c>
      <c r="B273" s="77">
        <v>7.25</v>
      </c>
      <c r="C273" s="80">
        <v>10.75</v>
      </c>
      <c r="D273" s="80">
        <v>0</v>
      </c>
      <c r="E273" s="82">
        <v>12.25</v>
      </c>
      <c r="G273" s="119">
        <v>1722.5</v>
      </c>
      <c r="I273" s="63">
        <v>2.694605</v>
      </c>
      <c r="J273" s="17">
        <v>966188.304347826</v>
      </c>
      <c r="K273" s="82">
        <v>11</v>
      </c>
    </row>
    <row r="274" spans="1:11" s="37" customFormat="1" ht="15.75">
      <c r="A274" s="85">
        <v>8</v>
      </c>
      <c r="B274" s="77">
        <v>7.25</v>
      </c>
      <c r="C274" s="80">
        <v>10.75</v>
      </c>
      <c r="D274" s="80">
        <v>0</v>
      </c>
      <c r="E274" s="82">
        <v>12.25</v>
      </c>
      <c r="G274" s="119">
        <v>2231.830955</v>
      </c>
      <c r="I274" s="63">
        <v>2.845557</v>
      </c>
      <c r="J274" s="17">
        <v>1076658.85714286</v>
      </c>
      <c r="K274" s="82">
        <v>11.07</v>
      </c>
    </row>
    <row r="275" spans="1:11" s="37" customFormat="1" ht="15.75">
      <c r="A275" s="85">
        <v>9</v>
      </c>
      <c r="B275" s="77">
        <v>7.25</v>
      </c>
      <c r="C275" s="80">
        <v>10.75</v>
      </c>
      <c r="D275" s="80">
        <v>0</v>
      </c>
      <c r="E275" s="82">
        <v>12.25</v>
      </c>
      <c r="G275" s="119">
        <v>2310.999313</v>
      </c>
      <c r="I275" s="63">
        <v>3.002715</v>
      </c>
      <c r="J275" s="17">
        <v>1001700.81818182</v>
      </c>
      <c r="K275" s="82">
        <v>11.28</v>
      </c>
    </row>
    <row r="276" spans="1:11" s="37" customFormat="1" ht="15.75">
      <c r="A276" s="85">
        <v>10</v>
      </c>
      <c r="B276" s="77">
        <v>7.25</v>
      </c>
      <c r="C276" s="80">
        <v>10.75</v>
      </c>
      <c r="D276" s="80">
        <v>0</v>
      </c>
      <c r="E276" s="82">
        <v>12.25</v>
      </c>
      <c r="G276" s="119">
        <v>2429.182352</v>
      </c>
      <c r="I276" s="63">
        <v>2.92958</v>
      </c>
      <c r="J276" s="17">
        <v>1063765.68181818</v>
      </c>
      <c r="K276" s="82">
        <v>11.15</v>
      </c>
    </row>
    <row r="277" spans="1:11" s="37" customFormat="1" ht="15.75">
      <c r="A277" s="85">
        <v>11</v>
      </c>
      <c r="B277" s="77">
        <v>7.25</v>
      </c>
      <c r="C277" s="80">
        <v>10.75</v>
      </c>
      <c r="D277" s="80">
        <v>0</v>
      </c>
      <c r="E277" s="82">
        <v>12.25</v>
      </c>
      <c r="G277" s="119">
        <v>2549.356434</v>
      </c>
      <c r="I277" s="63">
        <v>2.87129</v>
      </c>
      <c r="J277" s="17">
        <v>1186466.95238095</v>
      </c>
      <c r="K277" s="82">
        <v>11.28</v>
      </c>
    </row>
    <row r="278" spans="1:11" s="130" customFormat="1" ht="15.75">
      <c r="A278" s="106">
        <v>12</v>
      </c>
      <c r="B278" s="110">
        <v>7.25</v>
      </c>
      <c r="C278" s="81">
        <v>10.75</v>
      </c>
      <c r="D278" s="81">
        <v>0</v>
      </c>
      <c r="E278" s="111">
        <v>12.25</v>
      </c>
      <c r="G278" s="141">
        <v>2800.428645</v>
      </c>
      <c r="I278" s="68">
        <v>2.91723</v>
      </c>
      <c r="J278" s="86">
        <v>1220405.47826087</v>
      </c>
      <c r="K278" s="111">
        <v>11.85</v>
      </c>
    </row>
    <row r="279" spans="1:11" s="37" customFormat="1" ht="15.75">
      <c r="A279" s="104" t="s">
        <v>113</v>
      </c>
      <c r="B279" s="112">
        <v>7.25</v>
      </c>
      <c r="C279" s="83">
        <v>10.75</v>
      </c>
      <c r="D279" s="83">
        <v>0</v>
      </c>
      <c r="E279" s="113">
        <v>12.25</v>
      </c>
      <c r="F279" s="136"/>
      <c r="G279" s="140">
        <v>2411.911649</v>
      </c>
      <c r="H279" s="136"/>
      <c r="I279" s="84">
        <v>3.01237</v>
      </c>
      <c r="J279" s="74">
        <v>1299000.43</v>
      </c>
      <c r="K279" s="113">
        <v>11.88</v>
      </c>
    </row>
    <row r="280" spans="1:11" s="37" customFormat="1" ht="15.75">
      <c r="A280" s="85">
        <v>2</v>
      </c>
      <c r="B280" s="77">
        <v>7.25</v>
      </c>
      <c r="C280" s="80">
        <v>10.75</v>
      </c>
      <c r="D280" s="80">
        <v>0</v>
      </c>
      <c r="E280" s="82">
        <v>12.25</v>
      </c>
      <c r="G280" s="119">
        <v>2348.108632</v>
      </c>
      <c r="I280" s="63">
        <v>2.94596</v>
      </c>
      <c r="J280" s="33">
        <v>1411692.24</v>
      </c>
      <c r="K280" s="82">
        <v>11.71</v>
      </c>
    </row>
    <row r="281" spans="1:11" s="37" customFormat="1" ht="15.75">
      <c r="A281" s="85">
        <v>3</v>
      </c>
      <c r="B281" s="77">
        <v>7.25</v>
      </c>
      <c r="C281" s="80">
        <v>10.5</v>
      </c>
      <c r="D281" s="80">
        <v>0</v>
      </c>
      <c r="E281" s="82">
        <v>12</v>
      </c>
      <c r="G281" s="119">
        <v>1340.5917</v>
      </c>
      <c r="I281" s="63">
        <v>2.89694</v>
      </c>
      <c r="J281" s="33">
        <v>1520567.217</v>
      </c>
      <c r="K281" s="82" t="s">
        <v>114</v>
      </c>
    </row>
    <row r="282" spans="1:11" s="37" customFormat="1" ht="15.75">
      <c r="A282" s="85">
        <v>4</v>
      </c>
      <c r="B282" s="77">
        <v>7.25</v>
      </c>
      <c r="C282" s="80">
        <v>10</v>
      </c>
      <c r="D282" s="80">
        <v>0</v>
      </c>
      <c r="E282" s="82">
        <v>11.5</v>
      </c>
      <c r="G282" s="119">
        <v>796.25426</v>
      </c>
      <c r="I282" s="63">
        <v>2.83474</v>
      </c>
      <c r="J282" s="33">
        <v>1597895.61904762</v>
      </c>
      <c r="K282" s="82" t="s">
        <v>115</v>
      </c>
    </row>
    <row r="283" spans="1:11" s="37" customFormat="1" ht="15.75">
      <c r="A283" s="85">
        <v>5</v>
      </c>
      <c r="B283" s="77">
        <v>7.25</v>
      </c>
      <c r="C283" s="80">
        <v>9.5</v>
      </c>
      <c r="D283" s="80">
        <v>0</v>
      </c>
      <c r="E283" s="82">
        <v>11</v>
      </c>
      <c r="G283" s="119">
        <v>14.957045</v>
      </c>
      <c r="I283" s="63">
        <v>2.9266</v>
      </c>
      <c r="J283" s="33">
        <v>1680038.22727273</v>
      </c>
      <c r="K283" s="82">
        <v>10.67</v>
      </c>
    </row>
    <row r="284" spans="1:11" s="37" customFormat="1" ht="15.75">
      <c r="A284" s="85">
        <v>6</v>
      </c>
      <c r="B284" s="77">
        <v>7.25</v>
      </c>
      <c r="C284" s="80">
        <v>9</v>
      </c>
      <c r="D284" s="80">
        <v>0</v>
      </c>
      <c r="E284" s="82">
        <v>10.5</v>
      </c>
      <c r="G284" s="119">
        <v>40.540256</v>
      </c>
      <c r="I284" s="63">
        <v>2.91699</v>
      </c>
      <c r="J284" s="33">
        <v>1591093.8636363635</v>
      </c>
      <c r="K284" s="82">
        <v>10.47</v>
      </c>
    </row>
    <row r="285" spans="1:11" s="37" customFormat="1" ht="15.75">
      <c r="A285" s="85">
        <v>7</v>
      </c>
      <c r="B285" s="77">
        <v>7.25</v>
      </c>
      <c r="C285" s="80">
        <v>8.75</v>
      </c>
      <c r="D285" s="80">
        <v>0</v>
      </c>
      <c r="E285" s="82">
        <v>10.25</v>
      </c>
      <c r="G285" s="119">
        <v>51.316676</v>
      </c>
      <c r="I285" s="63">
        <v>2.95756</v>
      </c>
      <c r="J285" s="33">
        <v>1476012.7142857143</v>
      </c>
      <c r="K285" s="82">
        <v>9.67</v>
      </c>
    </row>
    <row r="286" spans="1:11" s="37" customFormat="1" ht="15.75">
      <c r="A286" s="85">
        <v>8</v>
      </c>
      <c r="B286" s="77">
        <v>7.25</v>
      </c>
      <c r="C286" s="80">
        <v>8.5</v>
      </c>
      <c r="D286" s="80">
        <v>0</v>
      </c>
      <c r="E286" s="80">
        <v>10</v>
      </c>
      <c r="G286" s="119">
        <v>115.313628</v>
      </c>
      <c r="I286" s="63">
        <v>2.96286</v>
      </c>
      <c r="J286" s="33">
        <v>1694552.69565217</v>
      </c>
      <c r="K286" s="82">
        <v>9.13</v>
      </c>
    </row>
    <row r="287" spans="1:11" s="37" customFormat="1" ht="15.75">
      <c r="A287" s="85">
        <v>9</v>
      </c>
      <c r="B287" s="77">
        <v>7.25</v>
      </c>
      <c r="C287" s="80">
        <v>8.25</v>
      </c>
      <c r="D287" s="80">
        <v>0</v>
      </c>
      <c r="E287" s="80">
        <v>9.75</v>
      </c>
      <c r="G287" s="119">
        <v>259.221112</v>
      </c>
      <c r="I287" s="63">
        <v>2.9601</v>
      </c>
      <c r="J287" s="33">
        <v>1457475.608695652</v>
      </c>
      <c r="K287" s="82">
        <v>8.9</v>
      </c>
    </row>
    <row r="288" spans="1:11" s="37" customFormat="1" ht="15.75">
      <c r="A288" s="85">
        <v>10</v>
      </c>
      <c r="B288" s="77">
        <v>7.25</v>
      </c>
      <c r="C288" s="80">
        <v>8.25</v>
      </c>
      <c r="D288" s="80">
        <v>0</v>
      </c>
      <c r="E288" s="80">
        <v>9.75</v>
      </c>
      <c r="G288" s="119">
        <v>995.830148</v>
      </c>
      <c r="I288" s="63">
        <v>3.06794</v>
      </c>
      <c r="J288" s="33">
        <v>1707011.142857143</v>
      </c>
      <c r="K288" s="82">
        <v>8.44</v>
      </c>
    </row>
    <row r="289" spans="1:11" s="37" customFormat="1" ht="15.75">
      <c r="A289" s="85">
        <v>11</v>
      </c>
      <c r="B289" s="77">
        <v>7.25</v>
      </c>
      <c r="C289" s="80">
        <v>8.5</v>
      </c>
      <c r="D289" s="80">
        <v>0</v>
      </c>
      <c r="E289" s="80">
        <v>10</v>
      </c>
      <c r="G289" s="119">
        <v>154.741412</v>
      </c>
      <c r="I289" s="63">
        <v>3.26745</v>
      </c>
      <c r="J289" s="33">
        <v>2127874.3333333335</v>
      </c>
      <c r="K289" s="82">
        <v>8.71</v>
      </c>
    </row>
    <row r="290" spans="1:11" s="37" customFormat="1" ht="15.75">
      <c r="A290" s="106">
        <v>12</v>
      </c>
      <c r="B290" s="110">
        <v>7.25</v>
      </c>
      <c r="C290" s="81">
        <v>8.5</v>
      </c>
      <c r="D290" s="81">
        <v>0</v>
      </c>
      <c r="E290" s="81">
        <v>10</v>
      </c>
      <c r="F290" s="130"/>
      <c r="G290" s="141">
        <v>116.601919</v>
      </c>
      <c r="H290" s="130"/>
      <c r="I290" s="68">
        <v>3.48893</v>
      </c>
      <c r="J290" s="23">
        <v>2114739.409090909</v>
      </c>
      <c r="K290" s="111">
        <v>8.96</v>
      </c>
    </row>
    <row r="291" spans="1:11" s="37" customFormat="1" ht="15.75">
      <c r="A291" s="107" t="s">
        <v>117</v>
      </c>
      <c r="B291" s="112">
        <v>7.25</v>
      </c>
      <c r="C291" s="83">
        <v>9.25</v>
      </c>
      <c r="D291" s="83">
        <v>0</v>
      </c>
      <c r="E291" s="113">
        <v>11</v>
      </c>
      <c r="F291" s="136"/>
      <c r="G291" s="140">
        <v>9577.63503026</v>
      </c>
      <c r="H291" s="136"/>
      <c r="I291" s="84">
        <v>3.73</v>
      </c>
      <c r="J291" s="74">
        <v>1239954.95454545</v>
      </c>
      <c r="K291" s="113" t="s">
        <v>116</v>
      </c>
    </row>
    <row r="292" spans="1:11" s="37" customFormat="1" ht="15.75">
      <c r="A292" s="85">
        <v>2</v>
      </c>
      <c r="B292" s="77">
        <v>7.25</v>
      </c>
      <c r="C292" s="80">
        <v>9.25</v>
      </c>
      <c r="D292" s="80">
        <v>0</v>
      </c>
      <c r="E292" s="82">
        <v>11</v>
      </c>
      <c r="G292" s="119">
        <v>21727.01915</v>
      </c>
      <c r="I292" s="63">
        <v>3.67</v>
      </c>
      <c r="J292" s="33">
        <v>1482276.85</v>
      </c>
      <c r="K292" s="82">
        <v>11.71</v>
      </c>
    </row>
    <row r="293" spans="1:11" s="37" customFormat="1" ht="15.75">
      <c r="A293" s="85">
        <v>3</v>
      </c>
      <c r="B293" s="77">
        <v>7.25</v>
      </c>
      <c r="C293" s="80">
        <v>9.25</v>
      </c>
      <c r="D293" s="80">
        <v>0</v>
      </c>
      <c r="E293" s="82">
        <v>11.75</v>
      </c>
      <c r="F293" s="130"/>
      <c r="G293" s="119">
        <v>30851.895697580003</v>
      </c>
      <c r="H293" s="130"/>
      <c r="I293" s="63">
        <v>3.67</v>
      </c>
      <c r="J293" s="33">
        <v>1520567.2173913044</v>
      </c>
      <c r="K293" s="82">
        <v>11.72</v>
      </c>
    </row>
    <row r="294" spans="1:12" s="37" customFormat="1" ht="15.75">
      <c r="A294" s="85">
        <v>4</v>
      </c>
      <c r="B294" s="77">
        <v>7.25</v>
      </c>
      <c r="C294" s="80">
        <v>9.25</v>
      </c>
      <c r="D294" s="80">
        <v>0</v>
      </c>
      <c r="E294" s="82">
        <v>12.25</v>
      </c>
      <c r="G294" s="119">
        <v>40864.19044996</v>
      </c>
      <c r="I294" s="63">
        <v>3.65</v>
      </c>
      <c r="J294" s="33">
        <v>1943261.9</v>
      </c>
      <c r="K294" s="82">
        <v>11.77</v>
      </c>
      <c r="L294" s="142"/>
    </row>
    <row r="295" spans="1:12" s="37" customFormat="1" ht="15.75">
      <c r="A295" s="85">
        <v>5</v>
      </c>
      <c r="B295" s="77">
        <v>7.25</v>
      </c>
      <c r="C295" s="80">
        <v>9.25</v>
      </c>
      <c r="D295" s="80">
        <v>0</v>
      </c>
      <c r="E295" s="82">
        <v>12.25</v>
      </c>
      <c r="G295" s="119">
        <v>51927.860476919996</v>
      </c>
      <c r="I295" s="63">
        <v>3.56</v>
      </c>
      <c r="J295" s="33">
        <v>1944523.7142857143</v>
      </c>
      <c r="K295" s="82">
        <v>12.42</v>
      </c>
      <c r="L295" s="142"/>
    </row>
    <row r="296" spans="1:12" s="37" customFormat="1" ht="15.75">
      <c r="A296" s="85">
        <v>6</v>
      </c>
      <c r="B296" s="77">
        <v>7.25</v>
      </c>
      <c r="C296" s="80">
        <v>9.25</v>
      </c>
      <c r="D296" s="80">
        <v>0</v>
      </c>
      <c r="E296" s="82">
        <v>12.25</v>
      </c>
      <c r="G296" s="119">
        <v>48443.599463599996</v>
      </c>
      <c r="I296" s="63">
        <v>3.5071</v>
      </c>
      <c r="J296" s="33">
        <v>2224413.2272727275</v>
      </c>
      <c r="K296" s="82">
        <v>12.97</v>
      </c>
      <c r="L296" s="142"/>
    </row>
    <row r="297" spans="1:12" s="37" customFormat="1" ht="15.75">
      <c r="A297" s="85">
        <v>7</v>
      </c>
      <c r="B297" s="77">
        <v>7.25</v>
      </c>
      <c r="C297" s="80">
        <v>9.25</v>
      </c>
      <c r="D297" s="80">
        <v>0</v>
      </c>
      <c r="E297" s="82">
        <v>12.25</v>
      </c>
      <c r="G297" s="119">
        <v>50567.383295</v>
      </c>
      <c r="I297" s="63">
        <v>3.5292</v>
      </c>
      <c r="J297" s="33">
        <v>2791575.57142857</v>
      </c>
      <c r="K297" s="82" t="s">
        <v>118</v>
      </c>
      <c r="L297" s="142"/>
    </row>
    <row r="298" spans="1:12" s="37" customFormat="1" ht="15.75">
      <c r="A298" s="85">
        <v>8</v>
      </c>
      <c r="B298" s="77">
        <v>7.25</v>
      </c>
      <c r="C298" s="80">
        <v>9.25</v>
      </c>
      <c r="D298" s="80">
        <v>0</v>
      </c>
      <c r="E298" s="82">
        <v>12.25</v>
      </c>
      <c r="G298" s="119">
        <v>45997.26990196</v>
      </c>
      <c r="I298" s="63">
        <v>3.441</v>
      </c>
      <c r="J298" s="33">
        <v>2576409.8260869565</v>
      </c>
      <c r="K298" s="82" t="s">
        <v>119</v>
      </c>
      <c r="L298" s="142"/>
    </row>
    <row r="299" spans="1:12" s="37" customFormat="1" ht="15.75">
      <c r="A299" s="85">
        <v>9</v>
      </c>
      <c r="B299" s="77">
        <v>7.25</v>
      </c>
      <c r="C299" s="80">
        <v>9.25</v>
      </c>
      <c r="D299" s="80">
        <v>0</v>
      </c>
      <c r="E299" s="82">
        <v>12.25</v>
      </c>
      <c r="G299" s="119">
        <v>42794.612749</v>
      </c>
      <c r="I299" s="63">
        <v>3.5695</v>
      </c>
      <c r="J299" s="33">
        <v>5452608.9</v>
      </c>
      <c r="K299" s="82" t="s">
        <v>120</v>
      </c>
      <c r="L299" s="142"/>
    </row>
    <row r="300" spans="1:12" s="37" customFormat="1" ht="15.75">
      <c r="A300" s="85">
        <v>10</v>
      </c>
      <c r="B300" s="77">
        <v>7.25</v>
      </c>
      <c r="C300" s="80">
        <v>9.25</v>
      </c>
      <c r="D300" s="80">
        <v>0</v>
      </c>
      <c r="E300" s="82">
        <v>12.25</v>
      </c>
      <c r="G300" s="119">
        <v>36494.732209</v>
      </c>
      <c r="I300" s="63">
        <v>3.66</v>
      </c>
      <c r="J300" s="33">
        <v>2832612.772727273</v>
      </c>
      <c r="K300" s="82" t="s">
        <v>121</v>
      </c>
      <c r="L300" s="142"/>
    </row>
    <row r="301" spans="1:12" s="37" customFormat="1" ht="15.75">
      <c r="A301" s="85">
        <v>11</v>
      </c>
      <c r="B301" s="77">
        <v>7.25</v>
      </c>
      <c r="C301" s="80">
        <v>9.25</v>
      </c>
      <c r="D301" s="80">
        <v>0</v>
      </c>
      <c r="E301" s="82">
        <v>12.25</v>
      </c>
      <c r="G301" s="119">
        <v>28752.47919714</v>
      </c>
      <c r="I301" s="63">
        <v>3.88</v>
      </c>
      <c r="J301" s="33">
        <v>2627831.36363636</v>
      </c>
      <c r="K301" s="82">
        <v>12.41</v>
      </c>
      <c r="L301" s="142"/>
    </row>
    <row r="302" spans="1:12" s="37" customFormat="1" ht="15.75">
      <c r="A302" s="106">
        <v>12</v>
      </c>
      <c r="B302" s="110">
        <v>7.25</v>
      </c>
      <c r="C302" s="81">
        <v>9.25</v>
      </c>
      <c r="D302" s="81">
        <v>0</v>
      </c>
      <c r="E302" s="111">
        <v>12.75</v>
      </c>
      <c r="F302" s="130"/>
      <c r="G302" s="141">
        <v>28873.8663115</v>
      </c>
      <c r="H302" s="130"/>
      <c r="I302" s="68">
        <v>3.85</v>
      </c>
      <c r="J302" s="23">
        <v>2725674.238095238</v>
      </c>
      <c r="K302" s="111">
        <v>12.79</v>
      </c>
      <c r="L302" s="142"/>
    </row>
    <row r="303" spans="1:12" s="37" customFormat="1" ht="15.75">
      <c r="A303" s="107" t="s">
        <v>123</v>
      </c>
      <c r="B303" s="112">
        <v>7.25</v>
      </c>
      <c r="C303" s="83">
        <v>9.25</v>
      </c>
      <c r="D303" s="83">
        <v>0</v>
      </c>
      <c r="E303" s="113">
        <v>12.75</v>
      </c>
      <c r="F303" s="136"/>
      <c r="G303" s="140">
        <v>31379.03816</v>
      </c>
      <c r="H303" s="136"/>
      <c r="I303" s="138">
        <v>3.7723272727273</v>
      </c>
      <c r="J303" s="87">
        <v>3008957.682</v>
      </c>
      <c r="K303" s="113">
        <v>12.99</v>
      </c>
      <c r="L303" s="142"/>
    </row>
    <row r="304" spans="1:12" s="37" customFormat="1" ht="15.75">
      <c r="A304" s="85">
        <v>2</v>
      </c>
      <c r="B304" s="77">
        <v>7.25</v>
      </c>
      <c r="C304" s="80">
        <v>9.25</v>
      </c>
      <c r="D304" s="80">
        <v>0</v>
      </c>
      <c r="E304" s="82">
        <v>12.75</v>
      </c>
      <c r="G304" s="119">
        <v>38552.64647058</v>
      </c>
      <c r="I304" s="139">
        <v>3.77802</v>
      </c>
      <c r="J304" s="17">
        <v>3001528.4</v>
      </c>
      <c r="K304" s="82">
        <v>12.99</v>
      </c>
      <c r="L304" s="142"/>
    </row>
    <row r="305" spans="1:12" s="37" customFormat="1" ht="15.75">
      <c r="A305" s="85">
        <v>3</v>
      </c>
      <c r="B305" s="77">
        <v>7.25</v>
      </c>
      <c r="C305" s="80">
        <v>9.25</v>
      </c>
      <c r="D305" s="80">
        <v>0</v>
      </c>
      <c r="E305" s="82">
        <v>12.75</v>
      </c>
      <c r="G305" s="119">
        <v>46768.284729</v>
      </c>
      <c r="I305" s="139">
        <v>3.8808772727273</v>
      </c>
      <c r="J305" s="17">
        <v>3204683.86</v>
      </c>
      <c r="K305" s="82">
        <v>13.17</v>
      </c>
      <c r="L305" s="142"/>
    </row>
    <row r="306" spans="1:12" s="37" customFormat="1" ht="15.75">
      <c r="A306" s="85">
        <v>4</v>
      </c>
      <c r="B306" s="77">
        <v>7.25</v>
      </c>
      <c r="C306" s="80">
        <v>9.25</v>
      </c>
      <c r="D306" s="80">
        <v>0</v>
      </c>
      <c r="E306" s="82">
        <v>13.5</v>
      </c>
      <c r="G306" s="119">
        <v>32375.130614</v>
      </c>
      <c r="I306" s="139">
        <v>4.05403</v>
      </c>
      <c r="J306" s="17">
        <v>3365374.38</v>
      </c>
      <c r="K306" s="82">
        <v>13.23</v>
      </c>
      <c r="L306" s="142"/>
    </row>
    <row r="307" spans="1:12" s="37" customFormat="1" ht="15.75">
      <c r="A307" s="85">
        <v>5</v>
      </c>
      <c r="B307" s="77">
        <v>7.25</v>
      </c>
      <c r="C307" s="80">
        <v>9.25</v>
      </c>
      <c r="D307" s="80">
        <v>0</v>
      </c>
      <c r="E307" s="82">
        <v>16.5</v>
      </c>
      <c r="G307" s="119">
        <v>24163.6850938</v>
      </c>
      <c r="I307" s="139">
        <v>4.4141454545455</v>
      </c>
      <c r="J307" s="17">
        <v>3477936.7</v>
      </c>
      <c r="K307" s="82">
        <v>14.54</v>
      </c>
      <c r="L307" s="142"/>
    </row>
    <row r="308" spans="1:12" s="37" customFormat="1" ht="15.75">
      <c r="A308" s="85">
        <v>6</v>
      </c>
      <c r="B308" s="77">
        <v>16.25</v>
      </c>
      <c r="C308" s="80">
        <v>19.25</v>
      </c>
      <c r="D308" s="80">
        <v>0</v>
      </c>
      <c r="E308" s="82">
        <v>20.75</v>
      </c>
      <c r="G308" s="119">
        <v>31102.82808</v>
      </c>
      <c r="I308" s="139">
        <v>4.62822</v>
      </c>
      <c r="J308" s="17">
        <v>3586484.19</v>
      </c>
      <c r="K308" s="82">
        <v>17.37</v>
      </c>
      <c r="L308" s="142"/>
    </row>
    <row r="309" spans="1:12" s="37" customFormat="1" ht="15.75">
      <c r="A309" s="85">
        <v>7</v>
      </c>
      <c r="B309" s="77">
        <v>16.25</v>
      </c>
      <c r="C309" s="80">
        <v>19.25</v>
      </c>
      <c r="D309" s="80">
        <v>0</v>
      </c>
      <c r="E309" s="82">
        <v>20.75</v>
      </c>
      <c r="G309" s="119">
        <v>27809.72253812</v>
      </c>
      <c r="I309" s="139">
        <v>4.7480090909091</v>
      </c>
      <c r="J309" s="17">
        <v>3569637.81818182</v>
      </c>
      <c r="K309" s="82">
        <v>17.69</v>
      </c>
      <c r="L309" s="142"/>
    </row>
    <row r="310" spans="1:12" s="37" customFormat="1" ht="15.75">
      <c r="A310" s="85">
        <v>8</v>
      </c>
      <c r="B310" s="77">
        <v>16.25</v>
      </c>
      <c r="C310" s="80">
        <v>19.25</v>
      </c>
      <c r="D310" s="80">
        <v>0</v>
      </c>
      <c r="E310" s="82">
        <v>20.75</v>
      </c>
      <c r="G310" s="119">
        <v>12532.85752906</v>
      </c>
      <c r="I310" s="139">
        <v>5.7301944444444</v>
      </c>
      <c r="J310" s="17">
        <v>2659824.217391304</v>
      </c>
      <c r="K310" s="82">
        <v>18.49</v>
      </c>
      <c r="L310" s="142"/>
    </row>
    <row r="311" spans="1:12" s="37" customFormat="1" ht="15.75">
      <c r="A311" s="85">
        <v>9</v>
      </c>
      <c r="B311" s="77">
        <v>22.5</v>
      </c>
      <c r="C311" s="80">
        <v>25.5</v>
      </c>
      <c r="D311" s="80">
        <v>0</v>
      </c>
      <c r="E311" s="82">
        <v>27</v>
      </c>
      <c r="G311" s="119">
        <v>12291.00325056</v>
      </c>
      <c r="I311" s="139">
        <v>6.36687</v>
      </c>
      <c r="J311" s="17">
        <v>4432621.65</v>
      </c>
      <c r="K311" s="82">
        <v>22.63</v>
      </c>
      <c r="L311" s="142"/>
    </row>
    <row r="312" spans="1:12" s="37" customFormat="1" ht="15.75">
      <c r="A312" s="85">
        <v>10</v>
      </c>
      <c r="B312" s="77">
        <v>22.5</v>
      </c>
      <c r="C312" s="80">
        <v>25.5</v>
      </c>
      <c r="D312" s="80">
        <v>0</v>
      </c>
      <c r="E312" s="82">
        <v>27</v>
      </c>
      <c r="G312" s="119">
        <v>13715.73890602</v>
      </c>
      <c r="I312" s="139">
        <v>5.8593727272727</v>
      </c>
      <c r="J312" s="17">
        <v>3338644.565217391</v>
      </c>
      <c r="K312" s="82">
        <v>23.86</v>
      </c>
      <c r="L312" s="142"/>
    </row>
    <row r="313" spans="1:12" s="37" customFormat="1" ht="15.75">
      <c r="A313" s="85">
        <v>11</v>
      </c>
      <c r="B313" s="77">
        <v>22.5</v>
      </c>
      <c r="C313" s="80">
        <v>25.5</v>
      </c>
      <c r="D313" s="80">
        <v>0</v>
      </c>
      <c r="E313" s="82">
        <v>27</v>
      </c>
      <c r="G313" s="49">
        <v>13815.4550511</v>
      </c>
      <c r="I313" s="139">
        <v>5.3734909090909</v>
      </c>
      <c r="J313" s="17">
        <v>3362493.4285714286</v>
      </c>
      <c r="K313" s="82">
        <v>23.51</v>
      </c>
      <c r="L313" s="142"/>
    </row>
    <row r="314" spans="1:12" s="37" customFormat="1" ht="15.75">
      <c r="A314" s="106">
        <v>12</v>
      </c>
      <c r="B314" s="110">
        <v>22.5</v>
      </c>
      <c r="C314" s="81">
        <v>25.5</v>
      </c>
      <c r="D314" s="81">
        <v>0</v>
      </c>
      <c r="E314" s="111">
        <v>27</v>
      </c>
      <c r="F314" s="130"/>
      <c r="G314" s="143">
        <v>11481.757976</v>
      </c>
      <c r="H314" s="130"/>
      <c r="I314" s="137">
        <v>5.3061238095238</v>
      </c>
      <c r="J314" s="86">
        <v>2745663.476190476</v>
      </c>
      <c r="K314" s="111">
        <v>23.45</v>
      </c>
      <c r="L314" s="142"/>
    </row>
    <row r="315" spans="1:23" ht="18" customHeight="1">
      <c r="A315" s="36" t="s">
        <v>80</v>
      </c>
      <c r="B315" s="91"/>
      <c r="C315" s="92"/>
      <c r="D315" s="91"/>
      <c r="E315" s="34"/>
      <c r="F315" s="33"/>
      <c r="G315" s="22"/>
      <c r="H315" s="22"/>
      <c r="I315" s="49"/>
      <c r="J315" s="33"/>
      <c r="K315" s="33" t="s">
        <v>89</v>
      </c>
      <c r="N315" s="4"/>
      <c r="O315" s="5"/>
      <c r="P315" s="5"/>
      <c r="Q315" s="5"/>
      <c r="R315" s="5"/>
      <c r="S315" s="5"/>
      <c r="T315" s="5"/>
      <c r="U315" s="5"/>
      <c r="V315" s="5"/>
      <c r="W315" s="5"/>
    </row>
    <row r="316" spans="1:23" ht="18" customHeight="1">
      <c r="A316" s="101" t="s">
        <v>86</v>
      </c>
      <c r="B316" s="93"/>
      <c r="C316" s="93"/>
      <c r="D316" s="93"/>
      <c r="E316" s="62"/>
      <c r="F316" s="35"/>
      <c r="G316" s="35"/>
      <c r="H316" s="10"/>
      <c r="I316" s="58"/>
      <c r="J316" s="32"/>
      <c r="K316" s="102" t="s">
        <v>97</v>
      </c>
      <c r="N316" s="4"/>
      <c r="O316" s="5"/>
      <c r="P316" s="5"/>
      <c r="Q316" s="5"/>
      <c r="R316" s="5"/>
      <c r="S316" s="5"/>
      <c r="T316" s="5"/>
      <c r="U316" s="5"/>
      <c r="V316" s="5"/>
      <c r="W316" s="5"/>
    </row>
    <row r="317" spans="1:21" ht="18" customHeight="1">
      <c r="A317" s="47"/>
      <c r="B317" s="71"/>
      <c r="C317" s="71"/>
      <c r="D317" s="71"/>
      <c r="E317" s="71"/>
      <c r="F317" s="4"/>
      <c r="G317" s="4"/>
      <c r="H317" s="4"/>
      <c r="I317" s="59"/>
      <c r="J317" s="4"/>
      <c r="K317" s="4"/>
      <c r="N317" s="4"/>
      <c r="O317" s="5"/>
      <c r="P317" s="5"/>
      <c r="Q317" s="5"/>
      <c r="R317" s="5"/>
      <c r="S317" s="5"/>
      <c r="T317" s="5"/>
      <c r="U317" s="5"/>
    </row>
    <row r="318" spans="1:14" ht="18" customHeight="1">
      <c r="A318" s="47"/>
      <c r="B318" s="71"/>
      <c r="C318" s="71"/>
      <c r="D318" s="71"/>
      <c r="E318" s="71"/>
      <c r="F318" s="12"/>
      <c r="G318" s="12"/>
      <c r="H318" s="4"/>
      <c r="I318" s="96"/>
      <c r="J318" s="4"/>
      <c r="K318" s="4"/>
      <c r="N318" s="1"/>
    </row>
    <row r="319" spans="1:14" ht="18" customHeight="1">
      <c r="A319" s="47"/>
      <c r="B319" s="71"/>
      <c r="C319" s="71"/>
      <c r="D319" s="71"/>
      <c r="E319" s="71"/>
      <c r="F319" s="11"/>
      <c r="G319" s="12"/>
      <c r="H319" s="4"/>
      <c r="I319" s="96"/>
      <c r="J319" s="94"/>
      <c r="K319" s="12"/>
      <c r="N319" s="1"/>
    </row>
    <row r="320" spans="1:14" ht="18" customHeight="1">
      <c r="A320" s="47"/>
      <c r="B320" s="71"/>
      <c r="C320" s="71"/>
      <c r="D320" s="71"/>
      <c r="E320" s="95"/>
      <c r="F320" s="12"/>
      <c r="G320" s="12"/>
      <c r="H320" s="4"/>
      <c r="I320" s="96"/>
      <c r="J320" s="4"/>
      <c r="K320" s="12"/>
      <c r="N320" s="1"/>
    </row>
    <row r="321" spans="1:14" ht="18" customHeight="1">
      <c r="A321" s="47"/>
      <c r="B321" s="71"/>
      <c r="C321" s="71"/>
      <c r="D321" s="71"/>
      <c r="E321" s="126"/>
      <c r="F321" s="12"/>
      <c r="G321" s="12"/>
      <c r="H321" s="4"/>
      <c r="I321" s="96"/>
      <c r="J321" s="94"/>
      <c r="K321" s="12"/>
      <c r="N321" s="1"/>
    </row>
    <row r="322" spans="1:14" ht="18" customHeight="1">
      <c r="A322" s="47"/>
      <c r="B322" s="71"/>
      <c r="C322" s="71"/>
      <c r="D322" s="71"/>
      <c r="E322" s="95"/>
      <c r="F322" s="12"/>
      <c r="G322" s="12"/>
      <c r="H322" s="4"/>
      <c r="I322" s="96"/>
      <c r="J322" s="4"/>
      <c r="K322" s="12"/>
      <c r="N322" s="1"/>
    </row>
    <row r="323" spans="1:14" ht="18" customHeight="1">
      <c r="A323" s="47"/>
      <c r="B323" s="71"/>
      <c r="C323" s="71"/>
      <c r="D323" s="71"/>
      <c r="E323" s="95"/>
      <c r="F323" s="4"/>
      <c r="G323" s="96"/>
      <c r="H323" s="123"/>
      <c r="I323" s="96"/>
      <c r="J323" s="4"/>
      <c r="K323" s="94"/>
      <c r="N323" s="1"/>
    </row>
    <row r="324" spans="1:14" ht="18" customHeight="1">
      <c r="A324" s="47"/>
      <c r="B324" s="71"/>
      <c r="C324" s="71"/>
      <c r="D324" s="71"/>
      <c r="E324" s="95"/>
      <c r="F324" s="12" t="e">
        <f>+(#REF!/36500+1)^365*100-100</f>
        <v>#REF!</v>
      </c>
      <c r="G324" s="96"/>
      <c r="H324" s="123"/>
      <c r="I324" s="60"/>
      <c r="J324" s="4"/>
      <c r="K324" s="12"/>
      <c r="N324" s="1"/>
    </row>
    <row r="325" spans="1:14" ht="18" customHeight="1">
      <c r="A325" s="47"/>
      <c r="B325" s="71"/>
      <c r="C325" s="71"/>
      <c r="D325" s="71"/>
      <c r="E325" s="71"/>
      <c r="F325" s="4"/>
      <c r="G325" s="96"/>
      <c r="H325" s="123"/>
      <c r="I325" s="60"/>
      <c r="J325" s="4"/>
      <c r="K325" s="12"/>
      <c r="N325" s="1"/>
    </row>
    <row r="326" spans="1:14" ht="18" customHeight="1">
      <c r="A326" s="47"/>
      <c r="B326" s="71"/>
      <c r="C326" s="71"/>
      <c r="D326" s="71"/>
      <c r="E326" s="71"/>
      <c r="F326" s="13"/>
      <c r="G326" s="96"/>
      <c r="H326" s="124"/>
      <c r="I326" s="50"/>
      <c r="J326" s="1"/>
      <c r="K326" s="13"/>
      <c r="N326" s="1"/>
    </row>
    <row r="327" spans="1:14" ht="18" customHeight="1">
      <c r="A327" s="47"/>
      <c r="B327" s="71"/>
      <c r="C327" s="71"/>
      <c r="D327" s="71"/>
      <c r="E327" s="71"/>
      <c r="F327" s="1"/>
      <c r="G327" s="96"/>
      <c r="H327" s="124"/>
      <c r="I327" s="50"/>
      <c r="J327" s="1"/>
      <c r="K327" s="13"/>
      <c r="N327" s="1"/>
    </row>
    <row r="328" spans="1:14" ht="18" customHeight="1">
      <c r="A328" s="47"/>
      <c r="B328" s="71"/>
      <c r="C328" s="71"/>
      <c r="D328" s="71"/>
      <c r="E328" s="71"/>
      <c r="F328" s="1"/>
      <c r="G328" s="96"/>
      <c r="H328" s="124"/>
      <c r="I328" s="50"/>
      <c r="J328" s="1"/>
      <c r="K328" s="13"/>
      <c r="N328" s="1"/>
    </row>
    <row r="329" spans="1:14" ht="18" customHeight="1">
      <c r="A329" s="47"/>
      <c r="B329" s="71"/>
      <c r="C329" s="71"/>
      <c r="D329" s="71"/>
      <c r="E329" s="71"/>
      <c r="F329" s="1"/>
      <c r="G329" s="96"/>
      <c r="H329" s="124"/>
      <c r="I329" s="50"/>
      <c r="J329" s="1"/>
      <c r="K329" s="13"/>
      <c r="N329" s="1"/>
    </row>
    <row r="330" spans="1:14" ht="18" customHeight="1">
      <c r="A330" s="47"/>
      <c r="B330" s="71"/>
      <c r="C330" s="71"/>
      <c r="D330" s="71"/>
      <c r="E330" s="71"/>
      <c r="F330" s="1"/>
      <c r="G330" s="96"/>
      <c r="H330" s="124"/>
      <c r="I330" s="50"/>
      <c r="J330" s="1"/>
      <c r="K330" s="13"/>
      <c r="N330" s="1"/>
    </row>
    <row r="331" spans="1:14" ht="18" customHeight="1">
      <c r="A331" s="47"/>
      <c r="B331" s="71"/>
      <c r="C331" s="71"/>
      <c r="D331" s="71"/>
      <c r="E331" s="71"/>
      <c r="F331" s="1"/>
      <c r="G331" s="96"/>
      <c r="H331" s="124"/>
      <c r="I331" s="50"/>
      <c r="J331" s="1"/>
      <c r="K331" s="13"/>
      <c r="N331" s="1"/>
    </row>
    <row r="332" spans="1:14" ht="18" customHeight="1">
      <c r="A332" s="47"/>
      <c r="B332" s="71"/>
      <c r="C332" s="71"/>
      <c r="D332" s="71"/>
      <c r="E332" s="71"/>
      <c r="F332" s="1"/>
      <c r="G332" s="96"/>
      <c r="H332" s="124"/>
      <c r="I332" s="50"/>
      <c r="J332" s="1"/>
      <c r="K332" s="13"/>
      <c r="N332" s="1"/>
    </row>
    <row r="333" spans="1:11" ht="18" customHeight="1">
      <c r="A333" s="47"/>
      <c r="B333" s="71"/>
      <c r="C333" s="71"/>
      <c r="D333" s="71"/>
      <c r="E333" s="71"/>
      <c r="F333" s="1"/>
      <c r="G333" s="96"/>
      <c r="H333" s="124"/>
      <c r="I333" s="50"/>
      <c r="J333" s="1"/>
      <c r="K333" s="13"/>
    </row>
    <row r="334" spans="1:11" ht="18" customHeight="1">
      <c r="A334" s="47"/>
      <c r="B334" s="71"/>
      <c r="C334" s="71"/>
      <c r="D334" s="71"/>
      <c r="E334" s="71"/>
      <c r="F334" s="1"/>
      <c r="G334" s="96"/>
      <c r="H334" s="124"/>
      <c r="I334" s="50"/>
      <c r="J334" s="1"/>
      <c r="K334" s="13"/>
    </row>
    <row r="335" spans="1:11" ht="18" customHeight="1">
      <c r="A335" s="47"/>
      <c r="B335" s="71"/>
      <c r="C335" s="71"/>
      <c r="D335" s="71"/>
      <c r="E335" s="71"/>
      <c r="F335" s="1"/>
      <c r="G335" s="96"/>
      <c r="H335" s="124"/>
      <c r="I335" s="50"/>
      <c r="J335" s="1"/>
      <c r="K335" s="13"/>
    </row>
    <row r="336" spans="1:11" ht="18" customHeight="1">
      <c r="A336" s="47"/>
      <c r="B336" s="71"/>
      <c r="C336" s="71"/>
      <c r="D336" s="71"/>
      <c r="E336" s="71"/>
      <c r="F336" s="1"/>
      <c r="G336" s="96"/>
      <c r="H336" s="124"/>
      <c r="I336" s="50"/>
      <c r="J336" s="1"/>
      <c r="K336" s="13"/>
    </row>
    <row r="337" spans="1:11" ht="18" customHeight="1">
      <c r="A337" s="47"/>
      <c r="B337" s="71"/>
      <c r="C337" s="71"/>
      <c r="D337" s="71"/>
      <c r="E337" s="71"/>
      <c r="F337" s="1"/>
      <c r="G337" s="96"/>
      <c r="H337" s="124"/>
      <c r="I337" s="50"/>
      <c r="J337" s="1"/>
      <c r="K337" s="13"/>
    </row>
    <row r="338" spans="1:11" ht="18" customHeight="1">
      <c r="A338" s="47"/>
      <c r="B338" s="71"/>
      <c r="C338" s="71"/>
      <c r="D338" s="71"/>
      <c r="E338" s="71"/>
      <c r="F338" s="1"/>
      <c r="G338" s="96"/>
      <c r="H338" s="124"/>
      <c r="I338" s="50"/>
      <c r="J338" s="1"/>
      <c r="K338" s="13"/>
    </row>
    <row r="339" spans="1:11" ht="18" customHeight="1">
      <c r="A339" s="47"/>
      <c r="B339" s="71"/>
      <c r="C339" s="71"/>
      <c r="D339" s="71"/>
      <c r="E339" s="71"/>
      <c r="F339" s="1"/>
      <c r="G339" s="96"/>
      <c r="H339" s="124"/>
      <c r="I339" s="50"/>
      <c r="J339" s="1"/>
      <c r="K339" s="13"/>
    </row>
    <row r="340" spans="1:11" ht="18" customHeight="1">
      <c r="A340" s="47"/>
      <c r="B340" s="71"/>
      <c r="C340" s="71"/>
      <c r="D340" s="71"/>
      <c r="E340" s="71"/>
      <c r="F340" s="1"/>
      <c r="G340" s="96"/>
      <c r="H340" s="124"/>
      <c r="I340" s="50"/>
      <c r="J340" s="1"/>
      <c r="K340" s="13"/>
    </row>
    <row r="341" spans="1:11" ht="18" customHeight="1">
      <c r="A341" s="47"/>
      <c r="B341" s="71"/>
      <c r="C341" s="71"/>
      <c r="D341" s="71"/>
      <c r="E341" s="71"/>
      <c r="G341" s="96"/>
      <c r="H341" s="125"/>
      <c r="K341" s="14"/>
    </row>
    <row r="342" spans="1:11" ht="18" customHeight="1">
      <c r="A342" s="47"/>
      <c r="B342" s="71"/>
      <c r="C342" s="71"/>
      <c r="D342" s="71"/>
      <c r="E342" s="71"/>
      <c r="G342" s="12"/>
      <c r="K342" s="14"/>
    </row>
    <row r="343" spans="1:11" ht="18" customHeight="1">
      <c r="A343" s="47"/>
      <c r="B343" s="71"/>
      <c r="C343" s="71"/>
      <c r="D343" s="71"/>
      <c r="E343" s="71"/>
      <c r="G343" s="12"/>
      <c r="K343" s="14"/>
    </row>
    <row r="344" spans="1:11" ht="18" customHeight="1">
      <c r="A344" s="47"/>
      <c r="B344" s="71"/>
      <c r="C344" s="71"/>
      <c r="D344" s="71"/>
      <c r="E344" s="71"/>
      <c r="G344" s="12"/>
      <c r="K344" s="14"/>
    </row>
    <row r="345" spans="1:11" ht="18" customHeight="1">
      <c r="A345" s="47"/>
      <c r="B345" s="71"/>
      <c r="C345" s="71"/>
      <c r="D345" s="71"/>
      <c r="E345" s="71"/>
      <c r="G345" s="12"/>
      <c r="K345" s="14"/>
    </row>
    <row r="346" spans="1:11" ht="18" customHeight="1">
      <c r="A346" s="47"/>
      <c r="B346" s="71"/>
      <c r="C346" s="71"/>
      <c r="D346" s="71"/>
      <c r="E346" s="71"/>
      <c r="G346" s="12"/>
      <c r="K346" s="14"/>
    </row>
    <row r="347" spans="1:11" ht="18" customHeight="1">
      <c r="A347" s="47"/>
      <c r="B347" s="71"/>
      <c r="C347" s="71"/>
      <c r="D347" s="71"/>
      <c r="E347" s="71"/>
      <c r="G347" s="12"/>
      <c r="K347" s="14"/>
    </row>
    <row r="348" spans="1:7" ht="18" customHeight="1">
      <c r="A348" s="47"/>
      <c r="B348" s="71"/>
      <c r="C348" s="71"/>
      <c r="D348" s="71"/>
      <c r="E348" s="71"/>
      <c r="G348" s="12"/>
    </row>
    <row r="349" spans="1:7" ht="18" customHeight="1">
      <c r="A349" s="47"/>
      <c r="B349" s="71"/>
      <c r="C349" s="71"/>
      <c r="D349" s="71"/>
      <c r="E349" s="71"/>
      <c r="G349" s="12"/>
    </row>
    <row r="350" spans="1:7" ht="18" customHeight="1">
      <c r="A350" s="47"/>
      <c r="B350" s="71"/>
      <c r="C350" s="71"/>
      <c r="D350" s="71"/>
      <c r="E350" s="71"/>
      <c r="G350" s="12"/>
    </row>
    <row r="351" spans="1:7" ht="18" customHeight="1">
      <c r="A351" s="47"/>
      <c r="B351" s="71"/>
      <c r="C351" s="71"/>
      <c r="D351" s="71"/>
      <c r="E351" s="71"/>
      <c r="G351" s="12"/>
    </row>
    <row r="352" spans="1:7" ht="18" customHeight="1">
      <c r="A352" s="47"/>
      <c r="B352" s="71"/>
      <c r="C352" s="71"/>
      <c r="D352" s="71"/>
      <c r="E352" s="71"/>
      <c r="G352" s="12"/>
    </row>
    <row r="353" spans="1:7" ht="18" customHeight="1">
      <c r="A353" s="47"/>
      <c r="B353" s="71"/>
      <c r="C353" s="71"/>
      <c r="D353" s="71"/>
      <c r="E353" s="71"/>
      <c r="G353" s="12"/>
    </row>
    <row r="354" spans="1:7" ht="18" customHeight="1">
      <c r="A354" s="47"/>
      <c r="B354" s="71"/>
      <c r="C354" s="71"/>
      <c r="D354" s="71"/>
      <c r="E354" s="71"/>
      <c r="G354" s="12"/>
    </row>
    <row r="355" spans="1:7" ht="18" customHeight="1">
      <c r="A355" s="47"/>
      <c r="B355" s="71"/>
      <c r="C355" s="71"/>
      <c r="D355" s="71"/>
      <c r="E355" s="71"/>
      <c r="G355" s="12"/>
    </row>
    <row r="356" spans="1:7" ht="18" customHeight="1">
      <c r="A356" s="47"/>
      <c r="B356" s="71"/>
      <c r="C356" s="71"/>
      <c r="D356" s="71"/>
      <c r="E356" s="71"/>
      <c r="G356" s="12"/>
    </row>
    <row r="357" spans="1:7" ht="18" customHeight="1">
      <c r="A357" s="47"/>
      <c r="B357" s="71"/>
      <c r="C357" s="71"/>
      <c r="D357" s="71"/>
      <c r="E357" s="71"/>
      <c r="G357" s="12"/>
    </row>
    <row r="358" spans="1:7" ht="18" customHeight="1">
      <c r="A358" s="47"/>
      <c r="B358" s="71"/>
      <c r="C358" s="71"/>
      <c r="D358" s="71"/>
      <c r="E358" s="71"/>
      <c r="G358" s="12"/>
    </row>
    <row r="359" spans="1:7" ht="18" customHeight="1">
      <c r="A359" s="47"/>
      <c r="B359" s="71"/>
      <c r="C359" s="71"/>
      <c r="D359" s="71"/>
      <c r="E359" s="71"/>
      <c r="G359" s="12"/>
    </row>
    <row r="360" spans="1:7" ht="18" customHeight="1">
      <c r="A360" s="47"/>
      <c r="B360" s="71"/>
      <c r="C360" s="71"/>
      <c r="D360" s="71"/>
      <c r="E360" s="71"/>
      <c r="G360" s="12"/>
    </row>
    <row r="361" spans="1:7" ht="18" customHeight="1">
      <c r="A361" s="47"/>
      <c r="B361" s="71"/>
      <c r="C361" s="71"/>
      <c r="D361" s="71"/>
      <c r="E361" s="71"/>
      <c r="G361" s="12"/>
    </row>
    <row r="362" spans="1:7" ht="18" customHeight="1">
      <c r="A362" s="47"/>
      <c r="B362" s="71"/>
      <c r="C362" s="71"/>
      <c r="D362" s="71"/>
      <c r="E362" s="71"/>
      <c r="G362" s="12"/>
    </row>
    <row r="363" spans="1:7" ht="18" customHeight="1">
      <c r="A363" s="47"/>
      <c r="B363" s="71"/>
      <c r="C363" s="71"/>
      <c r="D363" s="71"/>
      <c r="E363" s="71"/>
      <c r="G363" s="12"/>
    </row>
    <row r="364" spans="1:7" ht="18" customHeight="1">
      <c r="A364" s="47"/>
      <c r="B364" s="71"/>
      <c r="C364" s="71"/>
      <c r="D364" s="71"/>
      <c r="E364" s="71"/>
      <c r="G364" s="12"/>
    </row>
    <row r="365" spans="1:7" ht="18" customHeight="1">
      <c r="A365" s="47"/>
      <c r="B365" s="71"/>
      <c r="C365" s="71"/>
      <c r="D365" s="71"/>
      <c r="E365" s="71"/>
      <c r="G365" s="12"/>
    </row>
    <row r="366" spans="1:7" ht="18" customHeight="1">
      <c r="A366" s="47"/>
      <c r="B366" s="71"/>
      <c r="C366" s="71"/>
      <c r="D366" s="71"/>
      <c r="E366" s="71"/>
      <c r="G366" s="12"/>
    </row>
    <row r="367" spans="1:7" ht="18" customHeight="1">
      <c r="A367" s="47"/>
      <c r="B367" s="71"/>
      <c r="C367" s="71"/>
      <c r="D367" s="71"/>
      <c r="E367" s="71"/>
      <c r="G367" s="12"/>
    </row>
    <row r="368" spans="1:7" ht="18" customHeight="1">
      <c r="A368" s="47"/>
      <c r="B368" s="71"/>
      <c r="C368" s="71"/>
      <c r="D368" s="71"/>
      <c r="E368" s="71"/>
      <c r="G368" s="12"/>
    </row>
    <row r="369" spans="1:7" ht="18" customHeight="1">
      <c r="A369" s="47"/>
      <c r="B369" s="71"/>
      <c r="C369" s="71"/>
      <c r="D369" s="71"/>
      <c r="E369" s="71"/>
      <c r="G369" s="12"/>
    </row>
    <row r="370" spans="1:7" ht="18" customHeight="1">
      <c r="A370" s="47"/>
      <c r="B370" s="71"/>
      <c r="C370" s="71"/>
      <c r="D370" s="71"/>
      <c r="E370" s="71"/>
      <c r="G370" s="12"/>
    </row>
    <row r="371" spans="1:7" ht="18" customHeight="1">
      <c r="A371" s="47"/>
      <c r="B371" s="71"/>
      <c r="C371" s="71"/>
      <c r="D371" s="71"/>
      <c r="E371" s="71"/>
      <c r="G371" s="12"/>
    </row>
    <row r="372" spans="1:7" ht="18" customHeight="1">
      <c r="A372" s="47"/>
      <c r="B372" s="71"/>
      <c r="C372" s="71"/>
      <c r="D372" s="71"/>
      <c r="E372" s="71"/>
      <c r="G372" s="12"/>
    </row>
    <row r="373" spans="1:7" ht="18" customHeight="1">
      <c r="A373" s="47"/>
      <c r="B373" s="71"/>
      <c r="C373" s="71"/>
      <c r="D373" s="71"/>
      <c r="E373" s="71"/>
      <c r="G373" s="12"/>
    </row>
    <row r="374" spans="1:7" ht="18" customHeight="1">
      <c r="A374" s="47"/>
      <c r="B374" s="71"/>
      <c r="C374" s="71"/>
      <c r="D374" s="71"/>
      <c r="E374" s="71"/>
      <c r="G374" s="12"/>
    </row>
    <row r="375" spans="1:7" ht="18" customHeight="1">
      <c r="A375" s="47"/>
      <c r="B375" s="71"/>
      <c r="C375" s="71"/>
      <c r="D375" s="71"/>
      <c r="E375" s="71"/>
      <c r="G375" s="12"/>
    </row>
    <row r="376" spans="1:7" ht="18" customHeight="1">
      <c r="A376" s="47"/>
      <c r="B376" s="71"/>
      <c r="C376" s="71"/>
      <c r="D376" s="71"/>
      <c r="E376" s="71"/>
      <c r="G376" s="12"/>
    </row>
    <row r="377" spans="1:7" ht="18" customHeight="1">
      <c r="A377" s="47"/>
      <c r="B377" s="71"/>
      <c r="C377" s="71"/>
      <c r="D377" s="71"/>
      <c r="E377" s="71"/>
      <c r="G377" s="12"/>
    </row>
    <row r="378" spans="1:7" ht="18" customHeight="1">
      <c r="A378" s="47"/>
      <c r="B378" s="71"/>
      <c r="C378" s="71"/>
      <c r="D378" s="71"/>
      <c r="E378" s="71"/>
      <c r="G378" s="12"/>
    </row>
    <row r="379" spans="1:7" ht="18" customHeight="1">
      <c r="A379" s="47"/>
      <c r="B379" s="71"/>
      <c r="C379" s="71"/>
      <c r="D379" s="71"/>
      <c r="E379" s="71"/>
      <c r="G379" s="12"/>
    </row>
    <row r="380" spans="1:7" ht="18" customHeight="1">
      <c r="A380" s="47"/>
      <c r="B380" s="71"/>
      <c r="C380" s="71"/>
      <c r="D380" s="71"/>
      <c r="E380" s="71"/>
      <c r="G380" s="12"/>
    </row>
    <row r="381" spans="1:7" ht="18" customHeight="1">
      <c r="A381" s="47"/>
      <c r="B381" s="71"/>
      <c r="C381" s="71"/>
      <c r="D381" s="71"/>
      <c r="E381" s="71"/>
      <c r="G381" s="12"/>
    </row>
    <row r="382" ht="18" customHeight="1">
      <c r="G382" s="12"/>
    </row>
    <row r="383" ht="18" customHeight="1">
      <c r="G383" s="12"/>
    </row>
    <row r="384" ht="18" customHeight="1">
      <c r="G384" s="12"/>
    </row>
    <row r="385" ht="18" customHeight="1">
      <c r="G385" s="12"/>
    </row>
    <row r="386" ht="18" customHeight="1">
      <c r="G386" s="12"/>
    </row>
    <row r="387" ht="18" customHeight="1">
      <c r="G387" s="12"/>
    </row>
    <row r="388" ht="18" customHeight="1">
      <c r="G388" s="12"/>
    </row>
    <row r="389" ht="18" customHeight="1">
      <c r="G389" s="12"/>
    </row>
    <row r="390" ht="18" customHeight="1">
      <c r="G390" s="12"/>
    </row>
    <row r="391" ht="18" customHeight="1">
      <c r="G391" s="12"/>
    </row>
    <row r="392" ht="18" customHeight="1">
      <c r="G392" s="12"/>
    </row>
    <row r="393" ht="18" customHeight="1">
      <c r="G393" s="12"/>
    </row>
    <row r="394" ht="18" customHeight="1">
      <c r="G394" s="12"/>
    </row>
    <row r="395" ht="18" customHeight="1">
      <c r="G395" s="12"/>
    </row>
    <row r="396" ht="18" customHeight="1">
      <c r="G396" s="12"/>
    </row>
    <row r="397" ht="18" customHeight="1">
      <c r="G397" s="12"/>
    </row>
    <row r="398" ht="18" customHeight="1">
      <c r="G398" s="12"/>
    </row>
    <row r="399" ht="18" customHeight="1">
      <c r="G399" s="12"/>
    </row>
    <row r="400" ht="18" customHeight="1">
      <c r="G400" s="12"/>
    </row>
    <row r="401" ht="18" customHeight="1">
      <c r="G401" s="12"/>
    </row>
    <row r="402" ht="18" customHeight="1">
      <c r="G402" s="12"/>
    </row>
    <row r="403" ht="18" customHeight="1">
      <c r="G403" s="12"/>
    </row>
    <row r="404" ht="18" customHeight="1">
      <c r="G404" s="12"/>
    </row>
    <row r="405" ht="18" customHeight="1">
      <c r="G405" s="12"/>
    </row>
    <row r="406" ht="18" customHeight="1">
      <c r="G406" s="12"/>
    </row>
    <row r="407" ht="18" customHeight="1">
      <c r="G407" s="12"/>
    </row>
    <row r="408" ht="18" customHeight="1">
      <c r="G408" s="12"/>
    </row>
    <row r="409" ht="18" customHeight="1">
      <c r="G409" s="12"/>
    </row>
    <row r="410" ht="18" customHeight="1">
      <c r="G410" s="12"/>
    </row>
    <row r="411" ht="18" customHeight="1">
      <c r="G411" s="12"/>
    </row>
    <row r="412" ht="18" customHeight="1">
      <c r="G412" s="12"/>
    </row>
    <row r="413" ht="18" customHeight="1">
      <c r="G413" s="12"/>
    </row>
    <row r="414" ht="18" customHeight="1">
      <c r="G414" s="12"/>
    </row>
    <row r="415" ht="18" customHeight="1">
      <c r="G415" s="12"/>
    </row>
    <row r="416" ht="18" customHeight="1">
      <c r="G416" s="12"/>
    </row>
    <row r="417" ht="18" customHeight="1">
      <c r="G417" s="12"/>
    </row>
    <row r="418" ht="18" customHeight="1">
      <c r="G418" s="12"/>
    </row>
    <row r="419" ht="18" customHeight="1">
      <c r="G419" s="12"/>
    </row>
    <row r="420" ht="18" customHeight="1">
      <c r="G420" s="12"/>
    </row>
    <row r="421" ht="18" customHeight="1">
      <c r="G421" s="12"/>
    </row>
    <row r="422" ht="18" customHeight="1">
      <c r="G422" s="12"/>
    </row>
    <row r="423" ht="18" customHeight="1">
      <c r="G423" s="12"/>
    </row>
    <row r="424" ht="18" customHeight="1">
      <c r="G424" s="12"/>
    </row>
    <row r="425" ht="18" customHeight="1">
      <c r="G425" s="12"/>
    </row>
    <row r="426" ht="18" customHeight="1">
      <c r="G426" s="12"/>
    </row>
    <row r="427" ht="18" customHeight="1">
      <c r="G427" s="12"/>
    </row>
    <row r="428" ht="18" customHeight="1">
      <c r="G428" s="12"/>
    </row>
    <row r="429" ht="18" customHeight="1">
      <c r="G429" s="12"/>
    </row>
    <row r="430" ht="15.75">
      <c r="G430" s="12"/>
    </row>
    <row r="431" ht="15.75">
      <c r="G431" s="12"/>
    </row>
    <row r="432" ht="15.75">
      <c r="G432" s="12"/>
    </row>
    <row r="433" ht="15.75">
      <c r="G433" s="12"/>
    </row>
    <row r="434" ht="15.75">
      <c r="G434" s="12"/>
    </row>
    <row r="435" ht="15.75">
      <c r="G435" s="12"/>
    </row>
    <row r="436" ht="15.75">
      <c r="G436" s="12"/>
    </row>
    <row r="437" ht="15.75">
      <c r="G437" s="12"/>
    </row>
    <row r="438" ht="15.75">
      <c r="G438" s="12"/>
    </row>
    <row r="439" ht="15.75">
      <c r="G439" s="12"/>
    </row>
    <row r="440" ht="15.75">
      <c r="G440" s="12"/>
    </row>
    <row r="441" ht="15.75">
      <c r="G441" s="12"/>
    </row>
    <row r="442" ht="15.75">
      <c r="G442" s="12"/>
    </row>
    <row r="443" ht="15.75">
      <c r="G443" s="12"/>
    </row>
    <row r="444" ht="15.75">
      <c r="G444" s="12"/>
    </row>
    <row r="445" ht="15.75">
      <c r="G445" s="12"/>
    </row>
    <row r="446" ht="15.75">
      <c r="G446" s="12"/>
    </row>
    <row r="447" ht="15.75">
      <c r="G447" s="12"/>
    </row>
    <row r="448" ht="15.75">
      <c r="G448" s="12"/>
    </row>
    <row r="449" ht="15.75">
      <c r="G449" s="12"/>
    </row>
    <row r="450" ht="15.75">
      <c r="G450" s="12"/>
    </row>
    <row r="451" ht="15.75">
      <c r="G451" s="12"/>
    </row>
    <row r="452" ht="15.75">
      <c r="G452" s="12"/>
    </row>
    <row r="453" ht="15.75">
      <c r="G453" s="12"/>
    </row>
    <row r="454" ht="15.75">
      <c r="G454" s="12"/>
    </row>
    <row r="455" ht="15.75">
      <c r="G455" s="12"/>
    </row>
    <row r="456" ht="15.75">
      <c r="G456" s="12"/>
    </row>
    <row r="457" ht="15.75">
      <c r="G457" s="12"/>
    </row>
    <row r="458" ht="15.75">
      <c r="G458" s="12"/>
    </row>
    <row r="459" ht="15.75">
      <c r="G459" s="12"/>
    </row>
    <row r="460" ht="15.75">
      <c r="G460" s="12"/>
    </row>
    <row r="461" ht="15.75">
      <c r="G461" s="12"/>
    </row>
  </sheetData>
  <sheetProtection/>
  <mergeCells count="6">
    <mergeCell ref="J4:K4"/>
    <mergeCell ref="J5:K5"/>
    <mergeCell ref="B4:E4"/>
    <mergeCell ref="G4:I4"/>
    <mergeCell ref="G5:I5"/>
    <mergeCell ref="G6:I6"/>
  </mergeCells>
  <printOptions horizontalCentered="1" verticalCentered="1"/>
  <pageMargins left="0.5905511811023623" right="0.7874015748031497" top="0.5905511811023623" bottom="0.5905511811023623" header="0.5118110236220472" footer="0.2755905511811024"/>
  <pageSetup fitToHeight="1" fitToWidth="1" horizontalDpi="600" verticalDpi="6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Cezmi ONAT</cp:lastModifiedBy>
  <cp:lastPrinted>2019-01-18T07:40:07Z</cp:lastPrinted>
  <dcterms:created xsi:type="dcterms:W3CDTF">1999-01-29T15:30:33Z</dcterms:created>
  <dcterms:modified xsi:type="dcterms:W3CDTF">2019-01-18T07:40:20Z</dcterms:modified>
  <cp:category/>
  <cp:version/>
  <cp:contentType/>
  <cp:contentStatus/>
</cp:coreProperties>
</file>