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465" windowWidth="9720" windowHeight="5940" tabRatio="601" activeTab="0"/>
  </bookViews>
  <sheets>
    <sheet name="T 7.8" sheetId="1" r:id="rId1"/>
  </sheets>
  <definedNames>
    <definedName name="\0">'T 7.8'!$IQ$7824</definedName>
    <definedName name="\A">'T 7.8'!$IQ$7824</definedName>
    <definedName name="\B">'T 7.8'!$IQ$7824</definedName>
    <definedName name="\C">'T 7.8'!$IQ$7824</definedName>
    <definedName name="\D">'T 7.8'!$IQ$7824</definedName>
    <definedName name="\F">'T 7.8'!$IQ$7824</definedName>
    <definedName name="\H">'T 7.8'!$IQ$7824</definedName>
    <definedName name="\M">'T 7.8'!$IQ$7824</definedName>
    <definedName name="\P">'T 7.8'!$IQ$7824</definedName>
    <definedName name="\S">'T 7.8'!$IQ$7824</definedName>
    <definedName name="\Y">'T 7.8'!$IQ$7824</definedName>
    <definedName name="__123Graph_A" hidden="1">'T 7.8'!#REF!</definedName>
    <definedName name="__123Graph_B" hidden="1">'T 7.8'!#REF!</definedName>
    <definedName name="__123Graph_C" hidden="1">'T 7.8'!#REF!</definedName>
    <definedName name="__123Graph_D" hidden="1">'T 7.8'!$B$6:$B$215</definedName>
    <definedName name="__123Graph_E" hidden="1">'T 7.8'!$D$6:$D$271</definedName>
    <definedName name="__123Graph_F" hidden="1">'T 7.8'!$E$6:$E$271</definedName>
    <definedName name="__123Graph_X" hidden="1">'T 7.8'!$A$6:$A$272</definedName>
    <definedName name="H">'T 7.8'!$IQ$7824</definedName>
    <definedName name="IHRAC">'T 7.8'!$IQ$7824</definedName>
    <definedName name="IHRACAT">'T 7.8'!$IQ$7824</definedName>
    <definedName name="ISTIHDAM">'T 7.8'!$IQ$7824</definedName>
    <definedName name="ITHAL">'T 7.8'!$IQ$7824</definedName>
    <definedName name="ITHALAT">'T 7.8'!$IQ$7824</definedName>
    <definedName name="MENU">'T 7.8'!$IQ$7824</definedName>
    <definedName name="ODDEN">'T 7.8'!$IQ$7824</definedName>
    <definedName name="SON">'T 7.8'!$IQ$8458</definedName>
    <definedName name="SUB1">'T 7.8'!$IQ$7824</definedName>
    <definedName name="SUB10">'T 7.8'!$IQ$7824</definedName>
    <definedName name="SUB11">'T 7.8'!$IQ$7824</definedName>
    <definedName name="SUB12">'T 7.8'!$IQ$7824</definedName>
    <definedName name="SUB2">'T 7.8'!$IQ$7824</definedName>
    <definedName name="SUB3">'T 7.8'!$IQ$7824</definedName>
    <definedName name="SUB4">'T 7.8'!$IQ$7824</definedName>
    <definedName name="SUB5">'T 7.8'!$IQ$7824</definedName>
    <definedName name="SUB6">'T 7.8'!$IQ$7824</definedName>
    <definedName name="SUB7">'T 7.8'!$IQ$7824</definedName>
    <definedName name="SUB8">'T 7.8'!$IQ$7824</definedName>
    <definedName name="SUB9">'T 7.8'!$IQ$7824</definedName>
    <definedName name="SUBA">'T 7.8'!$IQ$7824</definedName>
    <definedName name="SUBB">'T 7.8'!$IQ$7824</definedName>
    <definedName name="SUBC">'T 7.8'!$IQ$7824</definedName>
    <definedName name="SUBF">'T 7.8'!$IQ$7824</definedName>
    <definedName name="T1_">'T 7.8'!$IQ$8458</definedName>
    <definedName name="TABLE_VI.1__MAI">'T 7.8'!$IQ$8458</definedName>
    <definedName name="TABLO_VI.1__BA_">'T 7.8'!$IQ$7826</definedName>
    <definedName name="_xlnm.Print_Area" localSheetId="0">'T 7.8'!$A$1:$K$350</definedName>
  </definedNames>
  <calcPr fullCalcOnLoad="1"/>
</workbook>
</file>

<file path=xl/sharedStrings.xml><?xml version="1.0" encoding="utf-8"?>
<sst xmlns="http://schemas.openxmlformats.org/spreadsheetml/2006/main" count="139" uniqueCount="110">
  <si>
    <t xml:space="preserve"> </t>
  </si>
  <si>
    <t>Toplam</t>
  </si>
  <si>
    <t>Total</t>
  </si>
  <si>
    <t xml:space="preserve"> 12 Ay. % Değ.</t>
  </si>
  <si>
    <t xml:space="preserve"> 12 Mon.%Cha.</t>
  </si>
  <si>
    <t>Vadesiz</t>
  </si>
  <si>
    <t>Demand</t>
  </si>
  <si>
    <t>Vadeli</t>
  </si>
  <si>
    <t>Time</t>
  </si>
  <si>
    <t xml:space="preserve">  1994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</si>
  <si>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</si>
  <si>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</si>
  <si>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</si>
  <si>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</si>
  <si>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</si>
  <si>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</si>
  <si>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</si>
  <si>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</si>
  <si>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</si>
  <si>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</si>
  <si>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1995 Ocak</t>
  </si>
  <si>
    <t>Aylar - Months</t>
  </si>
  <si>
    <t xml:space="preserve">  1996  1</t>
  </si>
  <si>
    <t xml:space="preserve">  1997  1</t>
  </si>
  <si>
    <t xml:space="preserve">  1999  1</t>
  </si>
  <si>
    <t>2000 1</t>
  </si>
  <si>
    <t xml:space="preserve"> 1997-12</t>
  </si>
  <si>
    <t xml:space="preserve"> 1996-12</t>
  </si>
  <si>
    <t>1995-12</t>
  </si>
  <si>
    <t>1994-12</t>
  </si>
  <si>
    <t>1993-12</t>
  </si>
  <si>
    <t xml:space="preserve"> 2001 1</t>
  </si>
  <si>
    <t xml:space="preserve"> 2002 1</t>
  </si>
  <si>
    <t xml:space="preserve"> 1997-13</t>
  </si>
  <si>
    <t xml:space="preserve"> 1997-14</t>
  </si>
  <si>
    <t xml:space="preserve"> 1997-15</t>
  </si>
  <si>
    <t xml:space="preserve"> 1997-16</t>
  </si>
  <si>
    <t xml:space="preserve"> 1997-17</t>
  </si>
  <si>
    <t xml:space="preserve"> 1997-18</t>
  </si>
  <si>
    <t xml:space="preserve"> 1997-19</t>
  </si>
  <si>
    <t xml:space="preserve"> 1997-20</t>
  </si>
  <si>
    <t xml:space="preserve"> 1997-21</t>
  </si>
  <si>
    <t xml:space="preserve"> 1997-22</t>
  </si>
  <si>
    <t xml:space="preserve"> 1997-23</t>
  </si>
  <si>
    <t xml:space="preserve"> 1998-12</t>
  </si>
  <si>
    <t xml:space="preserve">  2</t>
  </si>
  <si>
    <t xml:space="preserve">  3</t>
  </si>
  <si>
    <t xml:space="preserve">  4</t>
  </si>
  <si>
    <t>5</t>
  </si>
  <si>
    <t>6</t>
  </si>
  <si>
    <t>7</t>
  </si>
  <si>
    <t>8</t>
  </si>
  <si>
    <t>9</t>
  </si>
  <si>
    <t>10</t>
  </si>
  <si>
    <t>11</t>
  </si>
  <si>
    <t>1999-12</t>
  </si>
  <si>
    <t xml:space="preserve"> 2003 1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</si>
  <si>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</si>
  <si>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</si>
  <si>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</si>
  <si>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</si>
  <si>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</si>
  <si>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9</t>
  </si>
  <si>
    <t xml:space="preserve"> 10</t>
  </si>
  <si>
    <t xml:space="preserve"> 11</t>
  </si>
  <si>
    <t xml:space="preserve"> 2004 1</t>
  </si>
  <si>
    <t>2000-12</t>
  </si>
  <si>
    <t>2001-12</t>
  </si>
  <si>
    <t xml:space="preserve"> 2005 1</t>
  </si>
  <si>
    <t>Ticari Mevduat</t>
  </si>
  <si>
    <t>Commercial Deposits</t>
  </si>
  <si>
    <t>Tasarruf Mevduatı-Time Deposits</t>
  </si>
  <si>
    <t>Diğer Mevduat</t>
  </si>
  <si>
    <t>Other Deposits</t>
  </si>
  <si>
    <t>Ayın son Cuma günü itibariyle.</t>
  </si>
  <si>
    <t xml:space="preserve"> Kaynak: Merkez Bankası</t>
  </si>
  <si>
    <t xml:space="preserve">      Source: Central Bank</t>
  </si>
  <si>
    <t xml:space="preserve"> 2006 1</t>
  </si>
  <si>
    <t xml:space="preserve"> 2007 1</t>
  </si>
  <si>
    <t>2002-12</t>
  </si>
  <si>
    <t xml:space="preserve"> 2008 1</t>
  </si>
  <si>
    <t>2003-12</t>
  </si>
  <si>
    <t>2004-12</t>
  </si>
  <si>
    <t>2009 1</t>
  </si>
  <si>
    <t>Yurtiçi Yerleşik Toplam TL Mevduat</t>
  </si>
  <si>
    <t>(Bin TL)</t>
  </si>
  <si>
    <t xml:space="preserve"> 2005-12</t>
  </si>
  <si>
    <t xml:space="preserve"> Tablo: VII.8- TL Mevduatlar </t>
  </si>
  <si>
    <t xml:space="preserve"> 2006-12</t>
  </si>
  <si>
    <t xml:space="preserve"> 2007-12</t>
  </si>
  <si>
    <t>2010 1</t>
  </si>
  <si>
    <t>2011 1</t>
  </si>
  <si>
    <t>Total TR Deposits of Residents</t>
  </si>
  <si>
    <t>(In Thousands of TR)</t>
  </si>
  <si>
    <t xml:space="preserve"> Table: VII.8- TR Deposit</t>
  </si>
  <si>
    <t>2012 1</t>
  </si>
  <si>
    <t>2013 1</t>
  </si>
  <si>
    <t>2014 1</t>
  </si>
  <si>
    <t>2015 1</t>
  </si>
  <si>
    <t>2008-12</t>
  </si>
  <si>
    <t>2009-12</t>
  </si>
  <si>
    <t>2016 1</t>
  </si>
  <si>
    <t>2017 1</t>
  </si>
  <si>
    <t xml:space="preserve">     By the last Friday of the Month.</t>
  </si>
  <si>
    <t>2018 1</t>
  </si>
  <si>
    <t>2019 1</t>
  </si>
  <si>
    <t>12</t>
  </si>
  <si>
    <t>2020 1</t>
  </si>
  <si>
    <t>2021 1</t>
  </si>
  <si>
    <t>2022 1</t>
  </si>
</sst>
</file>

<file path=xl/styles.xml><?xml version="1.0" encoding="utf-8"?>
<styleSheet xmlns="http://schemas.openxmlformats.org/spreadsheetml/2006/main">
  <numFmts count="5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#,##0.0_);\(#,##0.0\)"/>
    <numFmt numFmtId="195" formatCode="#,##0_);\(#,##0\)"/>
    <numFmt numFmtId="196" formatCode="0.0_)"/>
    <numFmt numFmtId="197" formatCode="0_)"/>
    <numFmt numFmtId="198" formatCode="#,##0.0"/>
    <numFmt numFmtId="199" formatCode="0.0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¥€-2]\ #,##0.00_);[Red]\([$€-2]\ #,##0.00\)"/>
    <numFmt numFmtId="204" formatCode="_-* #,##0\ _₺_-;\-* #,##0\ _₺_-;_-* &quot;-&quot;??\ _₺_-;_-@_-"/>
    <numFmt numFmtId="205" formatCode="_-* #,##0.0\ _T_L_-;\-* #,##0.0\ _T_L_-;_-* &quot;-&quot;??\ _T_L_-;_-@_-"/>
    <numFmt numFmtId="206" formatCode="_-* #,##0\ _T_L_-;\-* #,##0\ _T_L_-;_-* &quot;-&quot;??\ _T_L_-;_-@_-"/>
    <numFmt numFmtId="207" formatCode="[$-809]dd\ mmmm\ yyyy"/>
    <numFmt numFmtId="208" formatCode="[$-41F]d\ mmmm\ yyyy\ dddd"/>
  </numFmts>
  <fonts count="51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Times New Roman Tur"/>
      <family val="1"/>
    </font>
    <font>
      <sz val="10"/>
      <name val="Times New Roman Tur"/>
      <family val="1"/>
    </font>
    <font>
      <sz val="10"/>
      <name val="SWISS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Times New Roman Tur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9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44952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8"/>
      </right>
      <top style="thin">
        <color theme="1"/>
      </top>
      <bottom>
        <color indexed="63"/>
      </bottom>
    </border>
  </borders>
  <cellStyleXfs count="63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19">
    <xf numFmtId="197" fontId="0" fillId="0" borderId="0" xfId="0" applyAlignment="1">
      <alignment/>
    </xf>
    <xf numFmtId="194" fontId="6" fillId="0" borderId="0" xfId="0" applyNumberFormat="1" applyFont="1" applyAlignment="1" applyProtection="1">
      <alignment/>
      <protection/>
    </xf>
    <xf numFmtId="197" fontId="6" fillId="0" borderId="0" xfId="0" applyFont="1" applyAlignment="1" applyProtection="1">
      <alignment/>
      <protection/>
    </xf>
    <xf numFmtId="197" fontId="7" fillId="0" borderId="0" xfId="0" applyFont="1" applyAlignment="1">
      <alignment/>
    </xf>
    <xf numFmtId="196" fontId="6" fillId="0" borderId="0" xfId="0" applyNumberFormat="1" applyFont="1" applyAlignment="1" applyProtection="1">
      <alignment/>
      <protection/>
    </xf>
    <xf numFmtId="198" fontId="6" fillId="0" borderId="0" xfId="0" applyNumberFormat="1" applyFont="1" applyAlignment="1" applyProtection="1">
      <alignment/>
      <protection/>
    </xf>
    <xf numFmtId="197" fontId="1" fillId="0" borderId="0" xfId="0" applyFont="1" applyAlignment="1" applyProtection="1">
      <alignment/>
      <protection/>
    </xf>
    <xf numFmtId="197" fontId="1" fillId="0" borderId="10" xfId="0" applyFont="1" applyBorder="1" applyAlignment="1" applyProtection="1">
      <alignment/>
      <protection/>
    </xf>
    <xf numFmtId="197" fontId="1" fillId="0" borderId="11" xfId="0" applyFont="1" applyBorder="1" applyAlignment="1" applyProtection="1">
      <alignment/>
      <protection/>
    </xf>
    <xf numFmtId="197" fontId="1" fillId="0" borderId="12" xfId="0" applyFont="1" applyBorder="1" applyAlignment="1" applyProtection="1">
      <alignment horizontal="center"/>
      <protection/>
    </xf>
    <xf numFmtId="197" fontId="8" fillId="0" borderId="13" xfId="0" applyFont="1" applyBorder="1" applyAlignment="1" applyProtection="1">
      <alignment/>
      <protection/>
    </xf>
    <xf numFmtId="197" fontId="8" fillId="0" borderId="12" xfId="0" applyFont="1" applyBorder="1" applyAlignment="1" applyProtection="1">
      <alignment/>
      <protection/>
    </xf>
    <xf numFmtId="197" fontId="8" fillId="0" borderId="14" xfId="0" applyFont="1" applyBorder="1" applyAlignment="1" applyProtection="1">
      <alignment/>
      <protection/>
    </xf>
    <xf numFmtId="197" fontId="8" fillId="0" borderId="15" xfId="0" applyFont="1" applyBorder="1" applyAlignment="1" applyProtection="1">
      <alignment/>
      <protection/>
    </xf>
    <xf numFmtId="197" fontId="8" fillId="0" borderId="10" xfId="0" applyFont="1" applyBorder="1" applyAlignment="1" applyProtection="1">
      <alignment/>
      <protection/>
    </xf>
    <xf numFmtId="197" fontId="8" fillId="0" borderId="16" xfId="0" applyFont="1" applyBorder="1" applyAlignment="1" applyProtection="1">
      <alignment horizontal="center"/>
      <protection/>
    </xf>
    <xf numFmtId="198" fontId="9" fillId="0" borderId="16" xfId="0" applyNumberFormat="1" applyFont="1" applyBorder="1" applyAlignment="1" applyProtection="1">
      <alignment/>
      <protection/>
    </xf>
    <xf numFmtId="195" fontId="9" fillId="0" borderId="17" xfId="0" applyNumberFormat="1" applyFont="1" applyBorder="1" applyAlignment="1" applyProtection="1">
      <alignment/>
      <protection/>
    </xf>
    <xf numFmtId="195" fontId="9" fillId="0" borderId="12" xfId="0" applyNumberFormat="1" applyFont="1" applyBorder="1" applyAlignment="1" applyProtection="1">
      <alignment/>
      <protection/>
    </xf>
    <xf numFmtId="198" fontId="9" fillId="0" borderId="11" xfId="0" applyNumberFormat="1" applyFont="1" applyBorder="1" applyAlignment="1" applyProtection="1">
      <alignment/>
      <protection/>
    </xf>
    <xf numFmtId="198" fontId="9" fillId="0" borderId="0" xfId="0" applyNumberFormat="1" applyFont="1" applyBorder="1" applyAlignment="1" applyProtection="1">
      <alignment/>
      <protection/>
    </xf>
    <xf numFmtId="3" fontId="9" fillId="0" borderId="12" xfId="0" applyNumberFormat="1" applyFont="1" applyBorder="1" applyAlignment="1" applyProtection="1">
      <alignment/>
      <protection/>
    </xf>
    <xf numFmtId="3" fontId="9" fillId="0" borderId="17" xfId="0" applyNumberFormat="1" applyFont="1" applyBorder="1" applyAlignment="1" applyProtection="1">
      <alignment/>
      <protection/>
    </xf>
    <xf numFmtId="195" fontId="9" fillId="0" borderId="13" xfId="0" applyNumberFormat="1" applyFont="1" applyBorder="1" applyAlignment="1" applyProtection="1">
      <alignment/>
      <protection/>
    </xf>
    <xf numFmtId="198" fontId="9" fillId="0" borderId="18" xfId="0" applyNumberFormat="1" applyFont="1" applyBorder="1" applyAlignment="1" applyProtection="1">
      <alignment/>
      <protection/>
    </xf>
    <xf numFmtId="195" fontId="9" fillId="0" borderId="10" xfId="0" applyNumberFormat="1" applyFont="1" applyBorder="1" applyAlignment="1" applyProtection="1">
      <alignment/>
      <protection/>
    </xf>
    <xf numFmtId="3" fontId="9" fillId="0" borderId="13" xfId="0" applyNumberFormat="1" applyFont="1" applyBorder="1" applyAlignment="1" applyProtection="1">
      <alignment/>
      <protection/>
    </xf>
    <xf numFmtId="195" fontId="9" fillId="0" borderId="0" xfId="0" applyNumberFormat="1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/>
      <protection/>
    </xf>
    <xf numFmtId="197" fontId="1" fillId="0" borderId="0" xfId="0" applyFont="1" applyBorder="1" applyAlignment="1" applyProtection="1">
      <alignment horizontal="right"/>
      <protection/>
    </xf>
    <xf numFmtId="197" fontId="1" fillId="0" borderId="0" xfId="0" applyFont="1" applyBorder="1" applyAlignment="1" applyProtection="1" quotePrefix="1">
      <alignment horizontal="right"/>
      <protection/>
    </xf>
    <xf numFmtId="3" fontId="9" fillId="0" borderId="10" xfId="0" applyNumberFormat="1" applyFont="1" applyBorder="1" applyAlignment="1" applyProtection="1">
      <alignment/>
      <protection/>
    </xf>
    <xf numFmtId="197" fontId="8" fillId="0" borderId="15" xfId="0" applyFont="1" applyBorder="1" applyAlignment="1" applyProtection="1">
      <alignment horizontal="right"/>
      <protection/>
    </xf>
    <xf numFmtId="49" fontId="8" fillId="0" borderId="15" xfId="0" applyNumberFormat="1" applyFont="1" applyBorder="1" applyAlignment="1" applyProtection="1">
      <alignment horizontal="right"/>
      <protection/>
    </xf>
    <xf numFmtId="197" fontId="8" fillId="0" borderId="13" xfId="0" applyFont="1" applyBorder="1" applyAlignment="1" applyProtection="1">
      <alignment horizontal="right"/>
      <protection/>
    </xf>
    <xf numFmtId="197" fontId="8" fillId="0" borderId="14" xfId="0" applyFont="1" applyBorder="1" applyAlignment="1" applyProtection="1">
      <alignment horizontal="right"/>
      <protection/>
    </xf>
    <xf numFmtId="197" fontId="8" fillId="0" borderId="18" xfId="0" applyFont="1" applyBorder="1" applyAlignment="1" applyProtection="1">
      <alignment horizontal="right"/>
      <protection/>
    </xf>
    <xf numFmtId="197" fontId="8" fillId="0" borderId="16" xfId="0" applyFont="1" applyBorder="1" applyAlignment="1" applyProtection="1">
      <alignment horizontal="right"/>
      <protection/>
    </xf>
    <xf numFmtId="197" fontId="8" fillId="0" borderId="12" xfId="0" applyFont="1" applyBorder="1" applyAlignment="1" applyProtection="1">
      <alignment horizontal="right"/>
      <protection/>
    </xf>
    <xf numFmtId="197" fontId="8" fillId="0" borderId="11" xfId="0" applyFont="1" applyBorder="1" applyAlignment="1" applyProtection="1">
      <alignment horizontal="right"/>
      <protection/>
    </xf>
    <xf numFmtId="197" fontId="8" fillId="0" borderId="0" xfId="0" applyFont="1" applyBorder="1" applyAlignment="1" applyProtection="1">
      <alignment horizontal="right"/>
      <protection/>
    </xf>
    <xf numFmtId="197" fontId="8" fillId="0" borderId="17" xfId="0" applyFont="1" applyBorder="1" applyAlignment="1" applyProtection="1">
      <alignment horizontal="right"/>
      <protection/>
    </xf>
    <xf numFmtId="197" fontId="8" fillId="0" borderId="13" xfId="0" applyFont="1" applyBorder="1" applyAlignment="1" applyProtection="1" quotePrefix="1">
      <alignment horizontal="right"/>
      <protection/>
    </xf>
    <xf numFmtId="197" fontId="8" fillId="0" borderId="12" xfId="0" applyFont="1" applyBorder="1" applyAlignment="1" applyProtection="1" quotePrefix="1">
      <alignment horizontal="right"/>
      <protection/>
    </xf>
    <xf numFmtId="197" fontId="8" fillId="0" borderId="15" xfId="0" applyFont="1" applyBorder="1" applyAlignment="1" applyProtection="1" quotePrefix="1">
      <alignment horizontal="right"/>
      <protection/>
    </xf>
    <xf numFmtId="197" fontId="8" fillId="0" borderId="19" xfId="0" applyFont="1" applyBorder="1" applyAlignment="1" applyProtection="1">
      <alignment horizontal="right"/>
      <protection/>
    </xf>
    <xf numFmtId="197" fontId="1" fillId="0" borderId="0" xfId="0" applyFont="1" applyBorder="1" applyAlignment="1" applyProtection="1">
      <alignment/>
      <protection/>
    </xf>
    <xf numFmtId="49" fontId="8" fillId="0" borderId="15" xfId="0" applyNumberFormat="1" applyFont="1" applyBorder="1" applyAlignment="1" applyProtection="1" quotePrefix="1">
      <alignment horizontal="right"/>
      <protection/>
    </xf>
    <xf numFmtId="197" fontId="5" fillId="0" borderId="0" xfId="0" applyFont="1" applyBorder="1" applyAlignment="1" applyProtection="1">
      <alignment/>
      <protection/>
    </xf>
    <xf numFmtId="197" fontId="11" fillId="0" borderId="0" xfId="0" applyFont="1" applyBorder="1" applyAlignment="1" applyProtection="1">
      <alignment/>
      <protection/>
    </xf>
    <xf numFmtId="197" fontId="11" fillId="0" borderId="17" xfId="0" applyFont="1" applyBorder="1" applyAlignment="1" applyProtection="1">
      <alignment/>
      <protection/>
    </xf>
    <xf numFmtId="3" fontId="12" fillId="0" borderId="0" xfId="0" applyNumberFormat="1" applyFont="1" applyBorder="1" applyAlignment="1">
      <alignment/>
    </xf>
    <xf numFmtId="197" fontId="8" fillId="0" borderId="20" xfId="0" applyFont="1" applyBorder="1" applyAlignment="1" applyProtection="1" quotePrefix="1">
      <alignment horizontal="right"/>
      <protection/>
    </xf>
    <xf numFmtId="197" fontId="8" fillId="0" borderId="19" xfId="0" applyFont="1" applyBorder="1" applyAlignment="1" applyProtection="1" quotePrefix="1">
      <alignment horizontal="right"/>
      <protection/>
    </xf>
    <xf numFmtId="49" fontId="8" fillId="0" borderId="12" xfId="0" applyNumberFormat="1" applyFont="1" applyBorder="1" applyAlignment="1" applyProtection="1">
      <alignment horizontal="right"/>
      <protection/>
    </xf>
    <xf numFmtId="3" fontId="9" fillId="0" borderId="17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97" fontId="6" fillId="0" borderId="0" xfId="0" applyFont="1" applyBorder="1" applyAlignment="1" applyProtection="1">
      <alignment/>
      <protection/>
    </xf>
    <xf numFmtId="197" fontId="7" fillId="0" borderId="0" xfId="0" applyFont="1" applyBorder="1" applyAlignment="1">
      <alignment/>
    </xf>
    <xf numFmtId="3" fontId="9" fillId="0" borderId="10" xfId="0" applyNumberFormat="1" applyFont="1" applyBorder="1" applyAlignment="1">
      <alignment/>
    </xf>
    <xf numFmtId="197" fontId="15" fillId="0" borderId="0" xfId="0" applyFont="1" applyAlignment="1" applyProtection="1">
      <alignment/>
      <protection/>
    </xf>
    <xf numFmtId="196" fontId="1" fillId="0" borderId="0" xfId="0" applyNumberFormat="1" applyFont="1" applyBorder="1" applyAlignment="1" applyProtection="1" quotePrefix="1">
      <alignment horizontal="right"/>
      <protection/>
    </xf>
    <xf numFmtId="197" fontId="10" fillId="0" borderId="0" xfId="0" applyFont="1" applyBorder="1" applyAlignment="1" applyProtection="1">
      <alignment/>
      <protection/>
    </xf>
    <xf numFmtId="197" fontId="8" fillId="0" borderId="0" xfId="0" applyFont="1" applyBorder="1" applyAlignment="1" applyProtection="1" quotePrefix="1">
      <alignment horizontal="right"/>
      <protection/>
    </xf>
    <xf numFmtId="3" fontId="12" fillId="0" borderId="0" xfId="0" applyNumberFormat="1" applyFont="1" applyBorder="1" applyAlignment="1">
      <alignment/>
    </xf>
    <xf numFmtId="197" fontId="9" fillId="0" borderId="0" xfId="0" applyFont="1" applyBorder="1" applyAlignment="1" applyProtection="1">
      <alignment/>
      <protection/>
    </xf>
    <xf numFmtId="197" fontId="9" fillId="0" borderId="0" xfId="0" applyFont="1" applyBorder="1" applyAlignment="1" applyProtection="1">
      <alignment horizontal="right"/>
      <protection/>
    </xf>
    <xf numFmtId="3" fontId="9" fillId="0" borderId="14" xfId="0" applyNumberFormat="1" applyFont="1" applyBorder="1" applyAlignment="1">
      <alignment/>
    </xf>
    <xf numFmtId="197" fontId="50" fillId="0" borderId="0" xfId="0" applyFont="1" applyAlignment="1">
      <alignment vertical="center"/>
    </xf>
    <xf numFmtId="206" fontId="6" fillId="0" borderId="0" xfId="55" applyNumberFormat="1" applyFont="1" applyAlignment="1" applyProtection="1">
      <alignment/>
      <protection/>
    </xf>
    <xf numFmtId="14" fontId="50" fillId="0" borderId="0" xfId="0" applyNumberFormat="1" applyFont="1" applyAlignment="1">
      <alignment vertical="center"/>
    </xf>
    <xf numFmtId="197" fontId="50" fillId="33" borderId="0" xfId="0" applyFont="1" applyFill="1" applyAlignment="1">
      <alignment vertical="center"/>
    </xf>
    <xf numFmtId="197" fontId="6" fillId="33" borderId="0" xfId="0" applyFont="1" applyFill="1" applyAlignment="1" applyProtection="1">
      <alignment/>
      <protection/>
    </xf>
    <xf numFmtId="198" fontId="6" fillId="33" borderId="0" xfId="0" applyNumberFormat="1" applyFont="1" applyFill="1" applyAlignment="1" applyProtection="1">
      <alignment/>
      <protection/>
    </xf>
    <xf numFmtId="197" fontId="4" fillId="0" borderId="12" xfId="0" applyFont="1" applyBorder="1" applyAlignment="1">
      <alignment/>
    </xf>
    <xf numFmtId="195" fontId="9" fillId="0" borderId="14" xfId="0" applyNumberFormat="1" applyFont="1" applyBorder="1" applyAlignment="1" applyProtection="1">
      <alignment/>
      <protection/>
    </xf>
    <xf numFmtId="197" fontId="4" fillId="0" borderId="0" xfId="0" applyFont="1" applyAlignment="1" applyProtection="1">
      <alignment/>
      <protection/>
    </xf>
    <xf numFmtId="3" fontId="9" fillId="0" borderId="13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0" xfId="0" applyNumberFormat="1" applyFont="1" applyAlignment="1" applyProtection="1">
      <alignment/>
      <protection/>
    </xf>
    <xf numFmtId="195" fontId="9" fillId="0" borderId="21" xfId="0" applyNumberFormat="1" applyFont="1" applyBorder="1" applyAlignment="1" applyProtection="1">
      <alignment/>
      <protection/>
    </xf>
    <xf numFmtId="3" fontId="0" fillId="0" borderId="21" xfId="0" applyNumberFormat="1" applyBorder="1" applyAlignment="1">
      <alignment/>
    </xf>
    <xf numFmtId="198" fontId="9" fillId="0" borderId="22" xfId="0" applyNumberFormat="1" applyFont="1" applyBorder="1" applyAlignment="1" applyProtection="1">
      <alignment/>
      <protection/>
    </xf>
    <xf numFmtId="4" fontId="1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198" fontId="9" fillId="0" borderId="17" xfId="0" applyNumberFormat="1" applyFont="1" applyBorder="1" applyAlignment="1" applyProtection="1">
      <alignment/>
      <protection/>
    </xf>
    <xf numFmtId="49" fontId="8" fillId="0" borderId="15" xfId="0" applyNumberFormat="1" applyFont="1" applyBorder="1" applyAlignment="1" applyProtection="1" quotePrefix="1">
      <alignment horizontal="right"/>
      <protection/>
    </xf>
    <xf numFmtId="49" fontId="8" fillId="0" borderId="23" xfId="0" applyNumberFormat="1" applyFont="1" applyBorder="1" applyAlignment="1" applyProtection="1" quotePrefix="1">
      <alignment horizontal="right"/>
      <protection/>
    </xf>
    <xf numFmtId="197" fontId="8" fillId="0" borderId="24" xfId="0" applyFont="1" applyBorder="1" applyAlignment="1" applyProtection="1" quotePrefix="1">
      <alignment horizontal="right"/>
      <protection/>
    </xf>
    <xf numFmtId="198" fontId="9" fillId="0" borderId="10" xfId="0" applyNumberFormat="1" applyFont="1" applyBorder="1" applyAlignment="1" applyProtection="1">
      <alignment/>
      <protection/>
    </xf>
    <xf numFmtId="198" fontId="9" fillId="0" borderId="21" xfId="0" applyNumberFormat="1" applyFont="1" applyBorder="1" applyAlignment="1" applyProtection="1">
      <alignment/>
      <protection/>
    </xf>
    <xf numFmtId="195" fontId="9" fillId="0" borderId="12" xfId="0" applyNumberFormat="1" applyFont="1" applyBorder="1" applyAlignment="1" applyProtection="1">
      <alignment horizontal="right"/>
      <protection/>
    </xf>
    <xf numFmtId="195" fontId="9" fillId="0" borderId="14" xfId="0" applyNumberFormat="1" applyFont="1" applyBorder="1" applyAlignment="1" applyProtection="1">
      <alignment horizontal="right"/>
      <protection/>
    </xf>
    <xf numFmtId="195" fontId="9" fillId="0" borderId="13" xfId="0" applyNumberFormat="1" applyFont="1" applyBorder="1" applyAlignment="1" applyProtection="1">
      <alignment horizontal="right"/>
      <protection/>
    </xf>
    <xf numFmtId="3" fontId="0" fillId="0" borderId="2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197" fontId="10" fillId="0" borderId="13" xfId="0" applyFont="1" applyBorder="1" applyAlignment="1" applyProtection="1">
      <alignment horizontal="center"/>
      <protection/>
    </xf>
    <xf numFmtId="197" fontId="10" fillId="0" borderId="18" xfId="0" applyFont="1" applyBorder="1" applyAlignment="1" applyProtection="1">
      <alignment horizontal="center"/>
      <protection/>
    </xf>
    <xf numFmtId="197" fontId="10" fillId="0" borderId="14" xfId="0" applyFont="1" applyBorder="1" applyAlignment="1" applyProtection="1">
      <alignment horizontal="center"/>
      <protection/>
    </xf>
    <xf numFmtId="197" fontId="10" fillId="0" borderId="16" xfId="0" applyFont="1" applyBorder="1" applyAlignment="1" applyProtection="1">
      <alignment horizontal="center"/>
      <protection/>
    </xf>
    <xf numFmtId="194" fontId="10" fillId="0" borderId="14" xfId="0" applyNumberFormat="1" applyFont="1" applyBorder="1" applyAlignment="1" applyProtection="1">
      <alignment horizontal="center"/>
      <protection/>
    </xf>
    <xf numFmtId="194" fontId="10" fillId="0" borderId="16" xfId="0" applyNumberFormat="1" applyFont="1" applyBorder="1" applyAlignment="1" applyProtection="1">
      <alignment horizontal="center"/>
      <protection/>
    </xf>
    <xf numFmtId="194" fontId="10" fillId="0" borderId="17" xfId="0" applyNumberFormat="1" applyFont="1" applyBorder="1" applyAlignment="1" applyProtection="1">
      <alignment horizontal="center"/>
      <protection/>
    </xf>
    <xf numFmtId="3" fontId="0" fillId="0" borderId="26" xfId="0" applyNumberFormat="1" applyBorder="1" applyAlignment="1">
      <alignment/>
    </xf>
    <xf numFmtId="198" fontId="9" fillId="0" borderId="27" xfId="0" applyNumberFormat="1" applyFont="1" applyBorder="1" applyAlignment="1" applyProtection="1">
      <alignment/>
      <protection/>
    </xf>
    <xf numFmtId="197" fontId="8" fillId="0" borderId="28" xfId="0" applyFont="1" applyBorder="1" applyAlignment="1" applyProtection="1" quotePrefix="1">
      <alignment horizontal="right"/>
      <protection/>
    </xf>
    <xf numFmtId="198" fontId="9" fillId="0" borderId="29" xfId="0" applyNumberFormat="1" applyFont="1" applyBorder="1" applyAlignment="1" applyProtection="1">
      <alignment/>
      <protection/>
    </xf>
    <xf numFmtId="197" fontId="8" fillId="0" borderId="30" xfId="0" applyFont="1" applyBorder="1" applyAlignment="1" applyProtection="1" quotePrefix="1">
      <alignment horizontal="right"/>
      <protection/>
    </xf>
    <xf numFmtId="198" fontId="9" fillId="0" borderId="31" xfId="0" applyNumberFormat="1" applyFont="1" applyBorder="1" applyAlignment="1" applyProtection="1">
      <alignment/>
      <protection/>
    </xf>
    <xf numFmtId="3" fontId="0" fillId="0" borderId="32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30" xfId="0" applyNumberFormat="1" applyBorder="1" applyAlignment="1">
      <alignment/>
    </xf>
    <xf numFmtId="195" fontId="9" fillId="0" borderId="32" xfId="0" applyNumberFormat="1" applyFont="1" applyBorder="1" applyAlignment="1" applyProtection="1">
      <alignment/>
      <protection/>
    </xf>
    <xf numFmtId="195" fontId="9" fillId="0" borderId="28" xfId="0" applyNumberFormat="1" applyFont="1" applyBorder="1" applyAlignment="1" applyProtection="1">
      <alignment/>
      <protection/>
    </xf>
    <xf numFmtId="195" fontId="9" fillId="0" borderId="30" xfId="0" applyNumberFormat="1" applyFont="1" applyBorder="1" applyAlignment="1" applyProtection="1">
      <alignment/>
      <protection/>
    </xf>
    <xf numFmtId="198" fontId="9" fillId="0" borderId="33" xfId="0" applyNumberFormat="1" applyFont="1" applyBorder="1" applyAlignment="1" applyProtection="1">
      <alignment/>
      <protection/>
    </xf>
    <xf numFmtId="3" fontId="0" fillId="0" borderId="14" xfId="0" applyNumberForma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H452"/>
  <sheetViews>
    <sheetView tabSelected="1" defaultGridColor="0" zoomScale="87" zoomScaleNormal="87" zoomScaleSheetLayoutView="90" zoomScalePageLayoutView="0" colorId="22" workbookViewId="0" topLeftCell="A1">
      <pane xSplit="1" ySplit="7" topLeftCell="B33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360" sqref="F360"/>
    </sheetView>
  </sheetViews>
  <sheetFormatPr defaultColWidth="11.69921875" defaultRowHeight="15"/>
  <cols>
    <col min="1" max="1" width="21.09765625" style="2" customWidth="1"/>
    <col min="2" max="2" width="17.69921875" style="2" customWidth="1"/>
    <col min="3" max="3" width="18.19921875" style="2" customWidth="1"/>
    <col min="4" max="4" width="16.09765625" style="2" customWidth="1"/>
    <col min="5" max="5" width="16.8984375" style="2" customWidth="1"/>
    <col min="6" max="6" width="17" style="2" customWidth="1"/>
    <col min="7" max="8" width="17.3984375" style="2" customWidth="1"/>
    <col min="9" max="9" width="16.8984375" style="2" customWidth="1"/>
    <col min="10" max="10" width="20.59765625" style="2" customWidth="1"/>
    <col min="11" max="11" width="22.19921875" style="2" customWidth="1"/>
    <col min="12" max="14" width="11.69921875" style="2" customWidth="1"/>
    <col min="15" max="15" width="21.69921875" style="2" customWidth="1"/>
    <col min="16" max="23" width="11.69921875" style="2" customWidth="1"/>
    <col min="24" max="16384" width="11.69921875" style="2" customWidth="1"/>
  </cols>
  <sheetData>
    <row r="1" spans="1:15" s="3" customFormat="1" ht="12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1"/>
      <c r="M1" s="2"/>
      <c r="N1" s="2"/>
      <c r="O1" s="2"/>
    </row>
    <row r="2" spans="1:15" s="3" customFormat="1" ht="20.25">
      <c r="A2" s="49" t="s">
        <v>87</v>
      </c>
      <c r="B2" s="62"/>
      <c r="C2" s="46"/>
      <c r="D2" s="46"/>
      <c r="E2" s="46"/>
      <c r="F2" s="46"/>
      <c r="G2" s="46"/>
      <c r="H2" s="46"/>
      <c r="I2" s="46"/>
      <c r="J2" s="46"/>
      <c r="K2" s="63" t="s">
        <v>85</v>
      </c>
      <c r="L2" s="2"/>
      <c r="M2" s="2"/>
      <c r="N2" s="2"/>
      <c r="O2" s="2"/>
    </row>
    <row r="3" spans="1:15" s="3" customFormat="1" ht="20.25">
      <c r="A3" s="50" t="s">
        <v>94</v>
      </c>
      <c r="B3" s="62"/>
      <c r="C3" s="46"/>
      <c r="D3" s="46"/>
      <c r="E3" s="46"/>
      <c r="F3" s="46"/>
      <c r="G3" s="46"/>
      <c r="H3" s="46"/>
      <c r="I3" s="46"/>
      <c r="J3" s="46"/>
      <c r="K3" s="63" t="s">
        <v>93</v>
      </c>
      <c r="L3" s="2"/>
      <c r="M3" s="2"/>
      <c r="N3" s="2"/>
      <c r="O3" s="2"/>
    </row>
    <row r="4" spans="1:15" s="3" customFormat="1" ht="18">
      <c r="A4" s="10"/>
      <c r="B4" s="98" t="s">
        <v>69</v>
      </c>
      <c r="C4" s="99"/>
      <c r="D4" s="14"/>
      <c r="E4" s="14"/>
      <c r="F4" s="14"/>
      <c r="G4" s="14"/>
      <c r="H4" s="98" t="s">
        <v>72</v>
      </c>
      <c r="I4" s="99"/>
      <c r="J4" s="98" t="s">
        <v>84</v>
      </c>
      <c r="K4" s="99"/>
      <c r="L4" s="2"/>
      <c r="M4" s="2"/>
      <c r="N4" s="2"/>
      <c r="O4" s="2"/>
    </row>
    <row r="5" spans="1:15" s="3" customFormat="1" ht="18">
      <c r="A5" s="11" t="s">
        <v>0</v>
      </c>
      <c r="B5" s="102" t="s">
        <v>70</v>
      </c>
      <c r="C5" s="103"/>
      <c r="D5" s="102" t="s">
        <v>71</v>
      </c>
      <c r="E5" s="104"/>
      <c r="F5" s="104"/>
      <c r="G5" s="103"/>
      <c r="H5" s="102" t="s">
        <v>73</v>
      </c>
      <c r="I5" s="103"/>
      <c r="J5" s="100" t="s">
        <v>92</v>
      </c>
      <c r="K5" s="101"/>
      <c r="L5" s="2"/>
      <c r="M5" s="2"/>
      <c r="N5" s="2"/>
      <c r="O5" s="2"/>
    </row>
    <row r="6" spans="1:15" s="3" customFormat="1" ht="15.75">
      <c r="A6" s="11"/>
      <c r="B6" s="38" t="s">
        <v>1</v>
      </c>
      <c r="C6" s="39" t="s">
        <v>3</v>
      </c>
      <c r="D6" s="40" t="s">
        <v>5</v>
      </c>
      <c r="E6" s="40" t="s">
        <v>7</v>
      </c>
      <c r="F6" s="40" t="s">
        <v>1</v>
      </c>
      <c r="G6" s="39" t="s">
        <v>3</v>
      </c>
      <c r="H6" s="34" t="s">
        <v>1</v>
      </c>
      <c r="I6" s="36" t="s">
        <v>3</v>
      </c>
      <c r="J6" s="38" t="s">
        <v>1</v>
      </c>
      <c r="K6" s="36" t="s">
        <v>3</v>
      </c>
      <c r="L6" s="2"/>
      <c r="M6" s="2"/>
      <c r="N6" s="2"/>
      <c r="O6" s="2"/>
    </row>
    <row r="7" spans="1:15" s="3" customFormat="1" ht="15.75">
      <c r="A7" s="12" t="s">
        <v>21</v>
      </c>
      <c r="B7" s="35" t="s">
        <v>2</v>
      </c>
      <c r="C7" s="37" t="s">
        <v>4</v>
      </c>
      <c r="D7" s="41" t="s">
        <v>6</v>
      </c>
      <c r="E7" s="41" t="s">
        <v>8</v>
      </c>
      <c r="F7" s="41" t="s">
        <v>2</v>
      </c>
      <c r="G7" s="15" t="s">
        <v>4</v>
      </c>
      <c r="H7" s="35" t="s">
        <v>2</v>
      </c>
      <c r="I7" s="37" t="s">
        <v>4</v>
      </c>
      <c r="J7" s="35" t="s">
        <v>2</v>
      </c>
      <c r="K7" s="37" t="s">
        <v>4</v>
      </c>
      <c r="L7" s="2"/>
      <c r="M7" s="2"/>
      <c r="N7" s="2"/>
      <c r="O7" s="2"/>
    </row>
    <row r="8" spans="1:15" s="3" customFormat="1" ht="16.5" customHeight="1">
      <c r="A8" s="13"/>
      <c r="B8" s="9"/>
      <c r="C8" s="8"/>
      <c r="D8" s="46"/>
      <c r="E8" s="46"/>
      <c r="F8" s="7"/>
      <c r="G8" s="8"/>
      <c r="H8" s="74"/>
      <c r="I8" s="46"/>
      <c r="J8" s="74"/>
      <c r="K8" s="8"/>
      <c r="L8" s="2"/>
      <c r="M8" s="2"/>
      <c r="N8" s="2"/>
      <c r="O8" s="2"/>
    </row>
    <row r="9" spans="1:15" s="3" customFormat="1" ht="16.5" customHeight="1" hidden="1">
      <c r="A9" s="33" t="s">
        <v>30</v>
      </c>
      <c r="B9" s="18">
        <v>56099</v>
      </c>
      <c r="C9" s="19">
        <f>56099/29211*100-100</f>
        <v>92.04751634658177</v>
      </c>
      <c r="D9" s="27">
        <v>19384</v>
      </c>
      <c r="E9" s="27">
        <v>106652</v>
      </c>
      <c r="F9" s="28">
        <f>E9+D9</f>
        <v>126036</v>
      </c>
      <c r="G9" s="20">
        <v>36.74445854896982</v>
      </c>
      <c r="H9" s="18">
        <f>J9-F9-B9</f>
        <v>69047</v>
      </c>
      <c r="I9" s="20">
        <v>77.66313297653355</v>
      </c>
      <c r="J9" s="21">
        <v>251182</v>
      </c>
      <c r="K9" s="19">
        <v>56.749706697286626</v>
      </c>
      <c r="L9" s="4"/>
      <c r="M9" s="2"/>
      <c r="N9" s="2"/>
      <c r="O9" s="2"/>
    </row>
    <row r="10" spans="1:15" s="3" customFormat="1" ht="16.5" customHeight="1" hidden="1">
      <c r="A10" s="33" t="s">
        <v>9</v>
      </c>
      <c r="B10" s="18">
        <v>43051</v>
      </c>
      <c r="C10" s="19">
        <f>43051/29347*100-100</f>
        <v>46.6964255290149</v>
      </c>
      <c r="D10" s="27">
        <v>16205</v>
      </c>
      <c r="E10" s="27">
        <v>109004</v>
      </c>
      <c r="F10" s="28">
        <f>E10+D10</f>
        <v>125209</v>
      </c>
      <c r="G10" s="20">
        <v>28.20515445972373</v>
      </c>
      <c r="H10" s="18">
        <f aca="true" t="shared" si="0" ref="H10:H73">J10-F10-B10</f>
        <v>81086</v>
      </c>
      <c r="I10" s="20">
        <v>85.3224848013896</v>
      </c>
      <c r="J10" s="21">
        <v>249346</v>
      </c>
      <c r="K10" s="19">
        <v>46.0178960436626</v>
      </c>
      <c r="L10" s="4"/>
      <c r="M10" s="4"/>
      <c r="N10" s="4"/>
      <c r="O10" s="4"/>
    </row>
    <row r="11" spans="1:15" s="3" customFormat="1" ht="16.5" customHeight="1" hidden="1">
      <c r="A11" s="33" t="s">
        <v>10</v>
      </c>
      <c r="B11" s="18">
        <v>42979</v>
      </c>
      <c r="C11" s="19">
        <f>42979/30284*100-100</f>
        <v>41.9198256505085</v>
      </c>
      <c r="D11" s="27">
        <v>15792</v>
      </c>
      <c r="E11" s="27">
        <v>121355</v>
      </c>
      <c r="F11" s="28">
        <f aca="true" t="shared" si="1" ref="F11:F74">E11+D11</f>
        <v>137147</v>
      </c>
      <c r="G11" s="20">
        <v>31.044268419694816</v>
      </c>
      <c r="H11" s="18">
        <f t="shared" si="0"/>
        <v>72487</v>
      </c>
      <c r="I11" s="20">
        <v>71.23452707171879</v>
      </c>
      <c r="J11" s="21">
        <v>252613</v>
      </c>
      <c r="K11" s="19">
        <v>42.49942179576135</v>
      </c>
      <c r="L11" s="4"/>
      <c r="M11" s="4"/>
      <c r="N11" s="4"/>
      <c r="O11" s="4"/>
    </row>
    <row r="12" spans="1:15" s="3" customFormat="1" ht="16.5" customHeight="1" hidden="1">
      <c r="A12" s="33" t="s">
        <v>11</v>
      </c>
      <c r="B12" s="18">
        <v>41177</v>
      </c>
      <c r="C12" s="19">
        <f>41177/33403*100-100</f>
        <v>23.273358680358044</v>
      </c>
      <c r="D12" s="27">
        <v>14385</v>
      </c>
      <c r="E12" s="27">
        <v>122943</v>
      </c>
      <c r="F12" s="28">
        <f t="shared" si="1"/>
        <v>137328</v>
      </c>
      <c r="G12" s="20">
        <v>28.21690661587587</v>
      </c>
      <c r="H12" s="18">
        <f t="shared" si="0"/>
        <v>67114</v>
      </c>
      <c r="I12" s="20">
        <v>58.41102745061016</v>
      </c>
      <c r="J12" s="21">
        <v>245619</v>
      </c>
      <c r="K12" s="19">
        <v>34.30904000524947</v>
      </c>
      <c r="L12" s="4"/>
      <c r="M12" s="4"/>
      <c r="N12" s="4"/>
      <c r="O12" s="4"/>
    </row>
    <row r="13" spans="1:15" s="3" customFormat="1" ht="16.5" customHeight="1" hidden="1">
      <c r="A13" s="33" t="s">
        <v>12</v>
      </c>
      <c r="B13" s="18">
        <v>42628</v>
      </c>
      <c r="C13" s="19">
        <f>42628/33655*100-100</f>
        <v>26.66171445550438</v>
      </c>
      <c r="D13" s="27">
        <v>17385</v>
      </c>
      <c r="E13" s="27">
        <v>149327</v>
      </c>
      <c r="F13" s="28">
        <f t="shared" si="1"/>
        <v>166712</v>
      </c>
      <c r="G13" s="20">
        <v>54.51032002743358</v>
      </c>
      <c r="H13" s="18">
        <f t="shared" si="0"/>
        <v>65332</v>
      </c>
      <c r="I13" s="20">
        <v>33.50771431490753</v>
      </c>
      <c r="J13" s="21">
        <v>274672</v>
      </c>
      <c r="K13" s="19">
        <v>44.19461695548779</v>
      </c>
      <c r="L13" s="4"/>
      <c r="M13" s="4"/>
      <c r="N13" s="4"/>
      <c r="O13" s="4"/>
    </row>
    <row r="14" spans="1:15" s="3" customFormat="1" ht="16.5" customHeight="1" hidden="1">
      <c r="A14" s="33" t="s">
        <v>13</v>
      </c>
      <c r="B14" s="18">
        <v>46012</v>
      </c>
      <c r="C14" s="19">
        <f>46012/32088*100-100</f>
        <v>43.39316878583895</v>
      </c>
      <c r="D14" s="27">
        <v>21426</v>
      </c>
      <c r="E14" s="27">
        <v>192136</v>
      </c>
      <c r="F14" s="28">
        <f t="shared" si="1"/>
        <v>213562</v>
      </c>
      <c r="G14" s="20">
        <v>97.64377070723899</v>
      </c>
      <c r="H14" s="18">
        <f t="shared" si="0"/>
        <v>68178</v>
      </c>
      <c r="I14" s="20">
        <v>42.81105990783408</v>
      </c>
      <c r="J14" s="21">
        <v>327752</v>
      </c>
      <c r="K14" s="19">
        <v>74.44566270318603</v>
      </c>
      <c r="L14" s="4"/>
      <c r="M14" s="4"/>
      <c r="N14" s="4"/>
      <c r="O14" s="4"/>
    </row>
    <row r="15" spans="1:15" s="3" customFormat="1" ht="16.5" customHeight="1" hidden="1">
      <c r="A15" s="33" t="s">
        <v>14</v>
      </c>
      <c r="B15" s="18">
        <v>57991</v>
      </c>
      <c r="C15" s="19">
        <f>57991/35617*100-100</f>
        <v>62.81831709576889</v>
      </c>
      <c r="D15" s="27">
        <v>21851</v>
      </c>
      <c r="E15" s="27">
        <v>246758</v>
      </c>
      <c r="F15" s="28">
        <f t="shared" si="1"/>
        <v>268609</v>
      </c>
      <c r="G15" s="20">
        <v>146.71773534301434</v>
      </c>
      <c r="H15" s="18">
        <f t="shared" si="0"/>
        <v>74590</v>
      </c>
      <c r="I15" s="20">
        <v>43.86837943139298</v>
      </c>
      <c r="J15" s="21">
        <v>401190</v>
      </c>
      <c r="K15" s="19">
        <v>104.33848097139594</v>
      </c>
      <c r="L15" s="4"/>
      <c r="M15" s="4"/>
      <c r="N15" s="4"/>
      <c r="O15" s="4"/>
    </row>
    <row r="16" spans="1:15" s="3" customFormat="1" ht="16.5" customHeight="1" hidden="1">
      <c r="A16" s="33" t="s">
        <v>15</v>
      </c>
      <c r="B16" s="18">
        <v>74605</v>
      </c>
      <c r="C16" s="19">
        <f>74605/37362*100-100</f>
        <v>99.681494566672</v>
      </c>
      <c r="D16" s="27">
        <v>25483</v>
      </c>
      <c r="E16" s="27">
        <v>293901</v>
      </c>
      <c r="F16" s="28">
        <f t="shared" si="1"/>
        <v>319384</v>
      </c>
      <c r="G16" s="20">
        <v>184.9073603268481</v>
      </c>
      <c r="H16" s="18">
        <f t="shared" si="0"/>
        <v>93888</v>
      </c>
      <c r="I16" s="20">
        <v>76.62064035516764</v>
      </c>
      <c r="J16" s="21">
        <v>487877</v>
      </c>
      <c r="K16" s="19">
        <v>140.7830382832974</v>
      </c>
      <c r="L16" s="4"/>
      <c r="M16" s="4"/>
      <c r="N16" s="4"/>
      <c r="O16" s="4"/>
    </row>
    <row r="17" spans="1:15" s="3" customFormat="1" ht="16.5" customHeight="1" hidden="1">
      <c r="A17" s="33" t="s">
        <v>16</v>
      </c>
      <c r="B17" s="18">
        <v>69100</v>
      </c>
      <c r="C17" s="19">
        <f>69100/37047*100-100</f>
        <v>86.51982616676116</v>
      </c>
      <c r="D17" s="27">
        <v>28397</v>
      </c>
      <c r="E17" s="27">
        <v>278867</v>
      </c>
      <c r="F17" s="28">
        <f t="shared" si="1"/>
        <v>307264</v>
      </c>
      <c r="G17" s="20">
        <v>167.1512411424597</v>
      </c>
      <c r="H17" s="18">
        <f t="shared" si="0"/>
        <v>98916</v>
      </c>
      <c r="I17" s="20">
        <v>83.6675579322638</v>
      </c>
      <c r="J17" s="21">
        <v>475280</v>
      </c>
      <c r="K17" s="19">
        <v>130.81032255558037</v>
      </c>
      <c r="L17" s="4"/>
      <c r="M17" s="4"/>
      <c r="N17" s="4"/>
      <c r="O17" s="4"/>
    </row>
    <row r="18" spans="1:15" s="3" customFormat="1" ht="16.5" customHeight="1" hidden="1">
      <c r="A18" s="33" t="s">
        <v>17</v>
      </c>
      <c r="B18" s="18">
        <v>79060</v>
      </c>
      <c r="C18" s="19">
        <v>102.2</v>
      </c>
      <c r="D18" s="27">
        <v>31901</v>
      </c>
      <c r="E18" s="27">
        <v>276263</v>
      </c>
      <c r="F18" s="28">
        <f t="shared" si="1"/>
        <v>308164</v>
      </c>
      <c r="G18" s="20">
        <v>170.3809640795269</v>
      </c>
      <c r="H18" s="18">
        <f t="shared" si="0"/>
        <v>99014</v>
      </c>
      <c r="I18" s="20">
        <v>90.28711996002613</v>
      </c>
      <c r="J18" s="21">
        <v>486238</v>
      </c>
      <c r="K18" s="19">
        <v>137.07131085996238</v>
      </c>
      <c r="L18" s="4"/>
      <c r="M18" s="4"/>
      <c r="N18" s="4"/>
      <c r="O18" s="4"/>
    </row>
    <row r="19" spans="1:15" s="3" customFormat="1" ht="16.5" customHeight="1" hidden="1">
      <c r="A19" s="33" t="s">
        <v>18</v>
      </c>
      <c r="B19" s="18">
        <v>81127</v>
      </c>
      <c r="C19" s="19">
        <v>94.1</v>
      </c>
      <c r="D19" s="27">
        <v>30382</v>
      </c>
      <c r="E19" s="27">
        <v>267013</v>
      </c>
      <c r="F19" s="28">
        <f t="shared" si="1"/>
        <v>297395</v>
      </c>
      <c r="G19" s="20">
        <v>159.7426984348798</v>
      </c>
      <c r="H19" s="18">
        <f t="shared" si="0"/>
        <v>100842</v>
      </c>
      <c r="I19" s="20">
        <v>83.80693728013415</v>
      </c>
      <c r="J19" s="21">
        <v>479364</v>
      </c>
      <c r="K19" s="19">
        <v>122.79316418867728</v>
      </c>
      <c r="L19" s="4"/>
      <c r="M19" s="4"/>
      <c r="N19" s="4"/>
      <c r="O19" s="4"/>
    </row>
    <row r="20" spans="1:15" s="3" customFormat="1" ht="16.5" customHeight="1" hidden="1">
      <c r="A20" s="33" t="s">
        <v>19</v>
      </c>
      <c r="B20" s="18">
        <v>87103</v>
      </c>
      <c r="C20" s="19">
        <v>111.5</v>
      </c>
      <c r="D20" s="27">
        <v>30410</v>
      </c>
      <c r="E20" s="27">
        <v>285941</v>
      </c>
      <c r="F20" s="28">
        <f t="shared" si="1"/>
        <v>316351</v>
      </c>
      <c r="G20" s="20">
        <v>162.56245538900782</v>
      </c>
      <c r="H20" s="18">
        <f t="shared" si="0"/>
        <v>104536</v>
      </c>
      <c r="I20" s="20">
        <v>72.88393477326102</v>
      </c>
      <c r="J20" s="21">
        <v>507990</v>
      </c>
      <c r="K20" s="19">
        <v>128.68422948103864</v>
      </c>
      <c r="L20" s="4"/>
      <c r="M20" s="4"/>
      <c r="N20" s="4"/>
      <c r="O20" s="4"/>
    </row>
    <row r="21" spans="1:15" s="3" customFormat="1" ht="16.5" customHeight="1" hidden="1">
      <c r="A21" s="33" t="s">
        <v>29</v>
      </c>
      <c r="B21" s="18">
        <v>103639</v>
      </c>
      <c r="C21" s="19">
        <f>B21/B9*100-100</f>
        <v>84.74304354801333</v>
      </c>
      <c r="D21" s="27">
        <v>34807</v>
      </c>
      <c r="E21" s="27">
        <f>288961+4619</f>
        <v>293580</v>
      </c>
      <c r="F21" s="28">
        <f t="shared" si="1"/>
        <v>328387</v>
      </c>
      <c r="G21" s="19">
        <v>160.5501602716684</v>
      </c>
      <c r="H21" s="18">
        <f t="shared" si="0"/>
        <v>125473</v>
      </c>
      <c r="I21" s="19">
        <f>H21/H9*100-100</f>
        <v>81.72114646545108</v>
      </c>
      <c r="J21" s="28">
        <v>557499</v>
      </c>
      <c r="K21" s="19">
        <f>J21/J9*100-100</f>
        <v>121.95021936285241</v>
      </c>
      <c r="L21" s="4"/>
      <c r="M21" s="4"/>
      <c r="N21" s="4"/>
      <c r="O21" s="4"/>
    </row>
    <row r="22" spans="1:15" s="3" customFormat="1" ht="16.5" customHeight="1" hidden="1">
      <c r="A22" s="33" t="s">
        <v>20</v>
      </c>
      <c r="B22" s="18">
        <v>84693</v>
      </c>
      <c r="C22" s="19">
        <f>B22/B10*100-100</f>
        <v>96.72713758100858</v>
      </c>
      <c r="D22" s="27">
        <v>26698</v>
      </c>
      <c r="E22" s="27">
        <f>308446+4878</f>
        <v>313324</v>
      </c>
      <c r="F22" s="28">
        <f>E22+D22</f>
        <v>340022</v>
      </c>
      <c r="G22" s="19">
        <f>F22/F10*100-100</f>
        <v>171.5635457515035</v>
      </c>
      <c r="H22" s="18">
        <f t="shared" si="0"/>
        <v>131391</v>
      </c>
      <c r="I22" s="19">
        <f>H22/H10*100-100</f>
        <v>62.03906962977578</v>
      </c>
      <c r="J22" s="21">
        <v>556106</v>
      </c>
      <c r="K22" s="19">
        <f>J22/J10*100-100</f>
        <v>123.02583558589268</v>
      </c>
      <c r="L22" s="4"/>
      <c r="M22" s="4"/>
      <c r="N22" s="4"/>
      <c r="O22" s="4"/>
    </row>
    <row r="23" spans="1:15" s="3" customFormat="1" ht="16.5" customHeight="1" hidden="1">
      <c r="A23" s="33" t="s">
        <v>10</v>
      </c>
      <c r="B23" s="18">
        <v>97566</v>
      </c>
      <c r="C23" s="19">
        <f aca="true" t="shared" si="2" ref="C23:C86">B23/B11*100-100</f>
        <v>127.00853905395658</v>
      </c>
      <c r="D23" s="27">
        <v>34432</v>
      </c>
      <c r="E23" s="27">
        <f>347758+5348</f>
        <v>353106</v>
      </c>
      <c r="F23" s="28">
        <f t="shared" si="1"/>
        <v>387538</v>
      </c>
      <c r="G23" s="19">
        <f aca="true" t="shared" si="3" ref="G23:G86">F23/F11*100-100</f>
        <v>182.57125565998524</v>
      </c>
      <c r="H23" s="18">
        <f t="shared" si="0"/>
        <v>136639</v>
      </c>
      <c r="I23" s="19">
        <f aca="true" t="shared" si="4" ref="I23:I86">H23/H11*100-100</f>
        <v>88.50138645550237</v>
      </c>
      <c r="J23" s="21">
        <v>621743</v>
      </c>
      <c r="K23" s="19">
        <f aca="true" t="shared" si="5" ref="K23:K86">J23/J11*100-100</f>
        <v>146.1247045876499</v>
      </c>
      <c r="L23" s="4"/>
      <c r="M23" s="4"/>
      <c r="N23" s="4"/>
      <c r="O23" s="4"/>
    </row>
    <row r="24" spans="1:15" s="3" customFormat="1" ht="16.5" customHeight="1" hidden="1">
      <c r="A24" s="33" t="s">
        <v>11</v>
      </c>
      <c r="B24" s="18">
        <v>97390</v>
      </c>
      <c r="C24" s="19">
        <f t="shared" si="2"/>
        <v>136.51553051460766</v>
      </c>
      <c r="D24" s="27">
        <v>34429</v>
      </c>
      <c r="E24" s="27">
        <f>394419+6261</f>
        <v>400680</v>
      </c>
      <c r="F24" s="28">
        <f t="shared" si="1"/>
        <v>435109</v>
      </c>
      <c r="G24" s="19">
        <f t="shared" si="3"/>
        <v>216.8392461843178</v>
      </c>
      <c r="H24" s="18">
        <f t="shared" si="0"/>
        <v>148938</v>
      </c>
      <c r="I24" s="19">
        <f t="shared" si="4"/>
        <v>121.91793068510296</v>
      </c>
      <c r="J24" s="21">
        <v>681437</v>
      </c>
      <c r="K24" s="19">
        <f t="shared" si="5"/>
        <v>177.43659896017817</v>
      </c>
      <c r="L24" s="4"/>
      <c r="M24" s="4"/>
      <c r="N24" s="4"/>
      <c r="O24" s="4"/>
    </row>
    <row r="25" spans="1:15" s="3" customFormat="1" ht="16.5" customHeight="1" hidden="1">
      <c r="A25" s="33" t="s">
        <v>12</v>
      </c>
      <c r="B25" s="18">
        <v>111385</v>
      </c>
      <c r="C25" s="19">
        <f t="shared" si="2"/>
        <v>161.29539269963402</v>
      </c>
      <c r="D25" s="27">
        <v>42032</v>
      </c>
      <c r="E25" s="27">
        <f>440153+6865</f>
        <v>447018</v>
      </c>
      <c r="F25" s="28">
        <f t="shared" si="1"/>
        <v>489050</v>
      </c>
      <c r="G25" s="19">
        <f t="shared" si="3"/>
        <v>193.35020874322186</v>
      </c>
      <c r="H25" s="18">
        <f t="shared" si="0"/>
        <v>140326</v>
      </c>
      <c r="I25" s="19">
        <f t="shared" si="4"/>
        <v>114.78907732810876</v>
      </c>
      <c r="J25" s="21">
        <v>740761</v>
      </c>
      <c r="K25" s="19">
        <f t="shared" si="5"/>
        <v>169.68930214947284</v>
      </c>
      <c r="L25" s="4"/>
      <c r="M25" s="4"/>
      <c r="N25" s="4"/>
      <c r="O25" s="4"/>
    </row>
    <row r="26" spans="1:15" s="3" customFormat="1" ht="16.5" customHeight="1" hidden="1">
      <c r="A26" s="33" t="s">
        <v>13</v>
      </c>
      <c r="B26" s="18">
        <v>107897</v>
      </c>
      <c r="C26" s="19">
        <f t="shared" si="2"/>
        <v>134.49752238546466</v>
      </c>
      <c r="D26" s="27">
        <v>43444</v>
      </c>
      <c r="E26" s="27">
        <f>470326+7195</f>
        <v>477521</v>
      </c>
      <c r="F26" s="28">
        <f t="shared" si="1"/>
        <v>520965</v>
      </c>
      <c r="G26" s="19">
        <f t="shared" si="3"/>
        <v>143.94086963036497</v>
      </c>
      <c r="H26" s="18">
        <f t="shared" si="0"/>
        <v>166973</v>
      </c>
      <c r="I26" s="19">
        <f t="shared" si="4"/>
        <v>144.9074481504298</v>
      </c>
      <c r="J26" s="21">
        <v>795835</v>
      </c>
      <c r="K26" s="19">
        <f t="shared" si="5"/>
        <v>142.81621469891869</v>
      </c>
      <c r="L26" s="4"/>
      <c r="M26" s="4"/>
      <c r="N26" s="4"/>
      <c r="O26" s="4"/>
    </row>
    <row r="27" spans="1:15" s="3" customFormat="1" ht="16.5" customHeight="1" hidden="1">
      <c r="A27" s="33" t="s">
        <v>14</v>
      </c>
      <c r="B27" s="18">
        <v>123420</v>
      </c>
      <c r="C27" s="19">
        <f t="shared" si="2"/>
        <v>112.8261281923057</v>
      </c>
      <c r="D27" s="27">
        <v>46292</v>
      </c>
      <c r="E27" s="27">
        <f>513118+7489</f>
        <v>520607</v>
      </c>
      <c r="F27" s="28">
        <f t="shared" si="1"/>
        <v>566899</v>
      </c>
      <c r="G27" s="19">
        <f t="shared" si="3"/>
        <v>111.04989036108245</v>
      </c>
      <c r="H27" s="18">
        <f t="shared" si="0"/>
        <v>162181</v>
      </c>
      <c r="I27" s="19">
        <f t="shared" si="4"/>
        <v>117.42995039549538</v>
      </c>
      <c r="J27" s="21">
        <v>852500</v>
      </c>
      <c r="K27" s="19">
        <f t="shared" si="5"/>
        <v>112.4928338193873</v>
      </c>
      <c r="L27" s="4"/>
      <c r="M27" s="4"/>
      <c r="N27" s="4"/>
      <c r="O27" s="4"/>
    </row>
    <row r="28" spans="1:15" s="3" customFormat="1" ht="16.5" customHeight="1" hidden="1">
      <c r="A28" s="33" t="s">
        <v>15</v>
      </c>
      <c r="B28" s="18">
        <v>133031</v>
      </c>
      <c r="C28" s="19">
        <f t="shared" si="2"/>
        <v>78.3137859392802</v>
      </c>
      <c r="D28" s="27">
        <v>49998</v>
      </c>
      <c r="E28" s="27">
        <f>544132+7401</f>
        <v>551533</v>
      </c>
      <c r="F28" s="28">
        <f t="shared" si="1"/>
        <v>601531</v>
      </c>
      <c r="G28" s="19">
        <f t="shared" si="3"/>
        <v>88.34099391328309</v>
      </c>
      <c r="H28" s="18">
        <f t="shared" si="0"/>
        <v>174574</v>
      </c>
      <c r="I28" s="19">
        <f t="shared" si="4"/>
        <v>85.93856509884117</v>
      </c>
      <c r="J28" s="21">
        <v>909136</v>
      </c>
      <c r="K28" s="19">
        <f t="shared" si="5"/>
        <v>86.34532884313055</v>
      </c>
      <c r="L28" s="4"/>
      <c r="M28" s="4"/>
      <c r="N28" s="4"/>
      <c r="O28" s="4"/>
    </row>
    <row r="29" spans="1:15" s="3" customFormat="1" ht="16.5" customHeight="1" hidden="1">
      <c r="A29" s="33" t="s">
        <v>16</v>
      </c>
      <c r="B29" s="18">
        <v>144919</v>
      </c>
      <c r="C29" s="19">
        <f t="shared" si="2"/>
        <v>109.72358900144718</v>
      </c>
      <c r="D29" s="27">
        <v>53601</v>
      </c>
      <c r="E29" s="27">
        <f>570909+7890</f>
        <v>578799</v>
      </c>
      <c r="F29" s="28">
        <f t="shared" si="1"/>
        <v>632400</v>
      </c>
      <c r="G29" s="19">
        <f t="shared" si="3"/>
        <v>105.81649656321602</v>
      </c>
      <c r="H29" s="18">
        <f t="shared" si="0"/>
        <v>193235</v>
      </c>
      <c r="I29" s="19">
        <f t="shared" si="4"/>
        <v>95.35262242710988</v>
      </c>
      <c r="J29" s="21">
        <v>970554</v>
      </c>
      <c r="K29" s="19">
        <f t="shared" si="5"/>
        <v>104.20678336980305</v>
      </c>
      <c r="L29" s="4"/>
      <c r="M29" s="4"/>
      <c r="N29" s="4"/>
      <c r="O29" s="4"/>
    </row>
    <row r="30" spans="1:15" s="3" customFormat="1" ht="16.5" customHeight="1" hidden="1">
      <c r="A30" s="33" t="s">
        <v>17</v>
      </c>
      <c r="B30" s="18">
        <v>155873</v>
      </c>
      <c r="C30" s="19">
        <f t="shared" si="2"/>
        <v>97.15785479382748</v>
      </c>
      <c r="D30" s="27">
        <v>58726</v>
      </c>
      <c r="E30" s="27">
        <f>572469+7893</f>
        <v>580362</v>
      </c>
      <c r="F30" s="28">
        <f t="shared" si="1"/>
        <v>639088</v>
      </c>
      <c r="G30" s="19">
        <f t="shared" si="3"/>
        <v>107.38567775600006</v>
      </c>
      <c r="H30" s="18">
        <f t="shared" si="0"/>
        <v>189639</v>
      </c>
      <c r="I30" s="19">
        <f t="shared" si="4"/>
        <v>91.52746076312442</v>
      </c>
      <c r="J30" s="21">
        <v>984600</v>
      </c>
      <c r="K30" s="19">
        <f t="shared" si="5"/>
        <v>102.49342914375265</v>
      </c>
      <c r="L30" s="4"/>
      <c r="M30" s="4"/>
      <c r="N30" s="4"/>
      <c r="O30" s="4"/>
    </row>
    <row r="31" spans="1:15" s="3" customFormat="1" ht="16.5" customHeight="1" hidden="1">
      <c r="A31" s="33" t="s">
        <v>18</v>
      </c>
      <c r="B31" s="18">
        <v>145652</v>
      </c>
      <c r="C31" s="19">
        <f t="shared" si="2"/>
        <v>79.53578956450997</v>
      </c>
      <c r="D31" s="27">
        <v>57178</v>
      </c>
      <c r="E31" s="27">
        <f>557791+7781</f>
        <v>565572</v>
      </c>
      <c r="F31" s="28">
        <f t="shared" si="1"/>
        <v>622750</v>
      </c>
      <c r="G31" s="19">
        <f t="shared" si="3"/>
        <v>109.40163755274969</v>
      </c>
      <c r="H31" s="18">
        <f t="shared" si="0"/>
        <v>205891</v>
      </c>
      <c r="I31" s="19">
        <f t="shared" si="4"/>
        <v>104.17187283076495</v>
      </c>
      <c r="J31" s="21">
        <v>974293</v>
      </c>
      <c r="K31" s="19">
        <f t="shared" si="5"/>
        <v>103.24701062240803</v>
      </c>
      <c r="L31" s="4"/>
      <c r="M31" s="4"/>
      <c r="N31" s="4"/>
      <c r="O31" s="4"/>
    </row>
    <row r="32" spans="1:15" s="3" customFormat="1" ht="16.5" customHeight="1" hidden="1">
      <c r="A32" s="33" t="s">
        <v>19</v>
      </c>
      <c r="B32" s="18">
        <v>160391</v>
      </c>
      <c r="C32" s="19">
        <f t="shared" si="2"/>
        <v>84.13946706772441</v>
      </c>
      <c r="D32" s="27">
        <v>57406</v>
      </c>
      <c r="E32" s="27">
        <f>604236+8163</f>
        <v>612399</v>
      </c>
      <c r="F32" s="28">
        <f t="shared" si="1"/>
        <v>669805</v>
      </c>
      <c r="G32" s="19">
        <f t="shared" si="3"/>
        <v>111.7284282331967</v>
      </c>
      <c r="H32" s="18">
        <f t="shared" si="0"/>
        <v>196567</v>
      </c>
      <c r="I32" s="19">
        <f t="shared" si="4"/>
        <v>88.03761383638172</v>
      </c>
      <c r="J32" s="21">
        <v>1026763</v>
      </c>
      <c r="K32" s="19">
        <f t="shared" si="5"/>
        <v>102.12267958030671</v>
      </c>
      <c r="L32" s="4"/>
      <c r="M32" s="4"/>
      <c r="N32" s="4"/>
      <c r="O32" s="4"/>
    </row>
    <row r="33" spans="1:15" s="3" customFormat="1" ht="16.5" customHeight="1" hidden="1">
      <c r="A33" s="33" t="s">
        <v>28</v>
      </c>
      <c r="B33" s="18">
        <v>197441</v>
      </c>
      <c r="C33" s="19">
        <f t="shared" si="2"/>
        <v>90.50839934773589</v>
      </c>
      <c r="D33" s="27">
        <v>54444</v>
      </c>
      <c r="E33" s="27">
        <f>629323+6908</f>
        <v>636231</v>
      </c>
      <c r="F33" s="28">
        <f t="shared" si="1"/>
        <v>690675</v>
      </c>
      <c r="G33" s="19">
        <f t="shared" si="3"/>
        <v>110.32349027214843</v>
      </c>
      <c r="H33" s="18">
        <f t="shared" si="0"/>
        <v>231639</v>
      </c>
      <c r="I33" s="19">
        <f t="shared" si="4"/>
        <v>84.61262582388244</v>
      </c>
      <c r="J33" s="28">
        <v>1119755</v>
      </c>
      <c r="K33" s="19">
        <f t="shared" si="5"/>
        <v>100.85327507313914</v>
      </c>
      <c r="L33" s="4"/>
      <c r="M33" s="4"/>
      <c r="N33" s="4"/>
      <c r="O33" s="4"/>
    </row>
    <row r="34" spans="1:15" s="3" customFormat="1" ht="16.5" customHeight="1" hidden="1">
      <c r="A34" s="32" t="s">
        <v>22</v>
      </c>
      <c r="B34" s="18">
        <f>98823+74911</f>
        <v>173734</v>
      </c>
      <c r="C34" s="19">
        <f>B34/B22*100-100</f>
        <v>105.13383632649686</v>
      </c>
      <c r="D34" s="27">
        <v>50190</v>
      </c>
      <c r="E34" s="27">
        <f>689757+7193</f>
        <v>696950</v>
      </c>
      <c r="F34" s="28">
        <f>E34+D34</f>
        <v>747140</v>
      </c>
      <c r="G34" s="19">
        <f>F34/F22*100-100</f>
        <v>119.73284081618249</v>
      </c>
      <c r="H34" s="18">
        <f t="shared" si="0"/>
        <v>230439</v>
      </c>
      <c r="I34" s="19">
        <f>H34/H22*100-100</f>
        <v>75.38415873233328</v>
      </c>
      <c r="J34" s="21">
        <v>1151313</v>
      </c>
      <c r="K34" s="19">
        <f>J34/J22*100-100</f>
        <v>107.03121347369029</v>
      </c>
      <c r="L34" s="4"/>
      <c r="M34" s="4"/>
      <c r="N34" s="4"/>
      <c r="O34" s="4"/>
    </row>
    <row r="35" spans="1:15" s="3" customFormat="1" ht="16.5" customHeight="1" hidden="1">
      <c r="A35" s="13">
        <v>2</v>
      </c>
      <c r="B35" s="18">
        <f>133074+68509</f>
        <v>201583</v>
      </c>
      <c r="C35" s="19">
        <f t="shared" si="2"/>
        <v>106.61193448537398</v>
      </c>
      <c r="D35" s="27">
        <v>62536</v>
      </c>
      <c r="E35" s="27">
        <f>744790+7249</f>
        <v>752039</v>
      </c>
      <c r="F35" s="28">
        <f t="shared" si="1"/>
        <v>814575</v>
      </c>
      <c r="G35" s="19">
        <f t="shared" si="3"/>
        <v>110.19229082051308</v>
      </c>
      <c r="H35" s="18">
        <f t="shared" si="0"/>
        <v>267630</v>
      </c>
      <c r="I35" s="19">
        <f t="shared" si="4"/>
        <v>95.86648028747283</v>
      </c>
      <c r="J35" s="21">
        <v>1283788</v>
      </c>
      <c r="K35" s="19">
        <f t="shared" si="5"/>
        <v>106.48209951700301</v>
      </c>
      <c r="L35" s="4"/>
      <c r="M35" s="4"/>
      <c r="N35" s="4"/>
      <c r="O35" s="4"/>
    </row>
    <row r="36" spans="1:15" s="3" customFormat="1" ht="16.5" customHeight="1" hidden="1">
      <c r="A36" s="13">
        <v>3</v>
      </c>
      <c r="B36" s="18">
        <f>122894+66724</f>
        <v>189618</v>
      </c>
      <c r="C36" s="19">
        <f t="shared" si="2"/>
        <v>94.6996611561762</v>
      </c>
      <c r="D36" s="27">
        <v>65097</v>
      </c>
      <c r="E36" s="27">
        <f>774774+7578</f>
        <v>782352</v>
      </c>
      <c r="F36" s="28">
        <f t="shared" si="1"/>
        <v>847449</v>
      </c>
      <c r="G36" s="19">
        <f t="shared" si="3"/>
        <v>94.76705836928218</v>
      </c>
      <c r="H36" s="18">
        <f t="shared" si="0"/>
        <v>271200</v>
      </c>
      <c r="I36" s="19">
        <f t="shared" si="4"/>
        <v>82.0891914756476</v>
      </c>
      <c r="J36" s="21">
        <v>1308267</v>
      </c>
      <c r="K36" s="19">
        <f t="shared" si="5"/>
        <v>91.98649324882564</v>
      </c>
      <c r="L36" s="4"/>
      <c r="M36" s="4"/>
      <c r="N36" s="4"/>
      <c r="O36" s="4"/>
    </row>
    <row r="37" spans="1:15" s="3" customFormat="1" ht="16.5" customHeight="1" hidden="1">
      <c r="A37" s="13">
        <v>4</v>
      </c>
      <c r="B37" s="18">
        <f>121238+74756</f>
        <v>195994</v>
      </c>
      <c r="C37" s="19">
        <f t="shared" si="2"/>
        <v>75.96085648875521</v>
      </c>
      <c r="D37" s="27">
        <v>71460</v>
      </c>
      <c r="E37" s="27">
        <f>857528+7989</f>
        <v>865517</v>
      </c>
      <c r="F37" s="28">
        <f t="shared" si="1"/>
        <v>936977</v>
      </c>
      <c r="G37" s="19">
        <f t="shared" si="3"/>
        <v>91.59124833861569</v>
      </c>
      <c r="H37" s="18">
        <f t="shared" si="0"/>
        <v>265773</v>
      </c>
      <c r="I37" s="19">
        <f t="shared" si="4"/>
        <v>89.39683308866498</v>
      </c>
      <c r="J37" s="21">
        <v>1398744</v>
      </c>
      <c r="K37" s="19">
        <f t="shared" si="5"/>
        <v>88.82527562871155</v>
      </c>
      <c r="L37" s="4"/>
      <c r="M37" s="4"/>
      <c r="N37" s="4"/>
      <c r="O37" s="4"/>
    </row>
    <row r="38" spans="1:15" s="3" customFormat="1" ht="16.5" customHeight="1" hidden="1">
      <c r="A38" s="13">
        <v>5</v>
      </c>
      <c r="B38" s="18">
        <v>203551</v>
      </c>
      <c r="C38" s="19">
        <f t="shared" si="2"/>
        <v>88.65306727712542</v>
      </c>
      <c r="D38" s="27">
        <v>70850</v>
      </c>
      <c r="E38" s="27">
        <v>942485</v>
      </c>
      <c r="F38" s="28">
        <f t="shared" si="1"/>
        <v>1013335</v>
      </c>
      <c r="G38" s="19">
        <f t="shared" si="3"/>
        <v>94.5111475818913</v>
      </c>
      <c r="H38" s="18">
        <f t="shared" si="0"/>
        <v>328477</v>
      </c>
      <c r="I38" s="19">
        <f t="shared" si="4"/>
        <v>96.72462014816767</v>
      </c>
      <c r="J38" s="21">
        <v>1545363</v>
      </c>
      <c r="K38" s="19">
        <f t="shared" si="5"/>
        <v>94.18133155742083</v>
      </c>
      <c r="L38" s="4"/>
      <c r="M38" s="4"/>
      <c r="N38" s="4"/>
      <c r="O38" s="4"/>
    </row>
    <row r="39" spans="1:15" s="3" customFormat="1" ht="16.5" customHeight="1" hidden="1">
      <c r="A39" s="13">
        <v>6</v>
      </c>
      <c r="B39" s="18">
        <v>236172</v>
      </c>
      <c r="C39" s="19">
        <f t="shared" si="2"/>
        <v>91.35634419056879</v>
      </c>
      <c r="D39" s="27">
        <v>80782</v>
      </c>
      <c r="E39" s="27">
        <f>1003941+8237</f>
        <v>1012178</v>
      </c>
      <c r="F39" s="28">
        <f t="shared" si="1"/>
        <v>1092960</v>
      </c>
      <c r="G39" s="19">
        <f t="shared" si="3"/>
        <v>92.79624765610805</v>
      </c>
      <c r="H39" s="18">
        <f t="shared" si="0"/>
        <v>336132</v>
      </c>
      <c r="I39" s="19">
        <f t="shared" si="4"/>
        <v>107.25732360757428</v>
      </c>
      <c r="J39" s="21">
        <v>1665264</v>
      </c>
      <c r="K39" s="19">
        <f t="shared" si="5"/>
        <v>95.33888563049854</v>
      </c>
      <c r="L39" s="4"/>
      <c r="M39" s="4"/>
      <c r="N39" s="4"/>
      <c r="O39" s="4"/>
    </row>
    <row r="40" spans="1:15" s="3" customFormat="1" ht="16.5" customHeight="1" hidden="1">
      <c r="A40" s="13">
        <v>7</v>
      </c>
      <c r="B40" s="18">
        <v>222260</v>
      </c>
      <c r="C40" s="19">
        <f t="shared" si="2"/>
        <v>67.07383993204593</v>
      </c>
      <c r="D40" s="27">
        <v>80361</v>
      </c>
      <c r="E40" s="27">
        <f>1045015+8434</f>
        <v>1053449</v>
      </c>
      <c r="F40" s="28">
        <f t="shared" si="1"/>
        <v>1133810</v>
      </c>
      <c r="G40" s="19">
        <f t="shared" si="3"/>
        <v>88.4873763779423</v>
      </c>
      <c r="H40" s="18">
        <f t="shared" si="0"/>
        <v>344354</v>
      </c>
      <c r="I40" s="19">
        <f t="shared" si="4"/>
        <v>97.25388660396163</v>
      </c>
      <c r="J40" s="21">
        <v>1700424</v>
      </c>
      <c r="K40" s="19">
        <f t="shared" si="5"/>
        <v>87.03736294679786</v>
      </c>
      <c r="L40" s="4"/>
      <c r="M40" s="4"/>
      <c r="N40" s="4"/>
      <c r="O40" s="4"/>
    </row>
    <row r="41" spans="1:15" s="3" customFormat="1" ht="16.5" customHeight="1" hidden="1">
      <c r="A41" s="13">
        <v>8</v>
      </c>
      <c r="B41" s="18">
        <f>150128+99021</f>
        <v>249149</v>
      </c>
      <c r="C41" s="19">
        <f t="shared" si="2"/>
        <v>71.92293626094576</v>
      </c>
      <c r="D41" s="27">
        <v>87834</v>
      </c>
      <c r="E41" s="27">
        <f>1175743+9567</f>
        <v>1185310</v>
      </c>
      <c r="F41" s="28">
        <f t="shared" si="1"/>
        <v>1273144</v>
      </c>
      <c r="G41" s="19">
        <f t="shared" si="3"/>
        <v>101.31941808981657</v>
      </c>
      <c r="H41" s="18">
        <f t="shared" si="0"/>
        <v>373995</v>
      </c>
      <c r="I41" s="19">
        <f t="shared" si="4"/>
        <v>93.54413020415555</v>
      </c>
      <c r="J41" s="21">
        <v>1896288</v>
      </c>
      <c r="K41" s="19">
        <f t="shared" si="5"/>
        <v>95.38201892939497</v>
      </c>
      <c r="L41" s="4"/>
      <c r="M41" s="4"/>
      <c r="N41" s="4"/>
      <c r="O41" s="4"/>
    </row>
    <row r="42" spans="1:15" s="3" customFormat="1" ht="16.5" customHeight="1" hidden="1">
      <c r="A42" s="13">
        <v>9</v>
      </c>
      <c r="B42" s="18">
        <f>164673+111886</f>
        <v>276559</v>
      </c>
      <c r="C42" s="19">
        <f t="shared" si="2"/>
        <v>77.42585309835573</v>
      </c>
      <c r="D42" s="27">
        <v>95373</v>
      </c>
      <c r="E42" s="27">
        <f>1251222+10300</f>
        <v>1261522</v>
      </c>
      <c r="F42" s="28">
        <f t="shared" si="1"/>
        <v>1356895</v>
      </c>
      <c r="G42" s="19">
        <f t="shared" si="3"/>
        <v>112.31739603935605</v>
      </c>
      <c r="H42" s="18">
        <f t="shared" si="0"/>
        <v>418287</v>
      </c>
      <c r="I42" s="19">
        <f t="shared" si="4"/>
        <v>120.57013588976952</v>
      </c>
      <c r="J42" s="21">
        <v>2051741</v>
      </c>
      <c r="K42" s="19">
        <f t="shared" si="5"/>
        <v>108.38320130002032</v>
      </c>
      <c r="L42" s="4"/>
      <c r="M42" s="4"/>
      <c r="N42" s="4"/>
      <c r="O42" s="4"/>
    </row>
    <row r="43" spans="1:15" s="3" customFormat="1" ht="16.5" customHeight="1" hidden="1">
      <c r="A43" s="13">
        <v>10</v>
      </c>
      <c r="B43" s="18">
        <f>160467+114283</f>
        <v>274750</v>
      </c>
      <c r="C43" s="19">
        <f t="shared" si="2"/>
        <v>88.63455359349683</v>
      </c>
      <c r="D43" s="27">
        <v>90538</v>
      </c>
      <c r="E43" s="27">
        <f>1346102+10248</f>
        <v>1356350</v>
      </c>
      <c r="F43" s="28">
        <f t="shared" si="1"/>
        <v>1446888</v>
      </c>
      <c r="G43" s="19">
        <f t="shared" si="3"/>
        <v>132.3384985949418</v>
      </c>
      <c r="H43" s="18">
        <f t="shared" si="0"/>
        <v>443164</v>
      </c>
      <c r="I43" s="19">
        <f t="shared" si="4"/>
        <v>115.24204554837269</v>
      </c>
      <c r="J43" s="21">
        <v>2164802</v>
      </c>
      <c r="K43" s="19">
        <f t="shared" si="5"/>
        <v>122.19209211192114</v>
      </c>
      <c r="L43" s="4"/>
      <c r="M43" s="4"/>
      <c r="N43" s="4"/>
      <c r="O43" s="4"/>
    </row>
    <row r="44" spans="1:15" s="3" customFormat="1" ht="16.5" customHeight="1" hidden="1">
      <c r="A44" s="13">
        <v>11</v>
      </c>
      <c r="B44" s="18">
        <f>263502+79730</f>
        <v>343232</v>
      </c>
      <c r="C44" s="19">
        <f t="shared" si="2"/>
        <v>113.99704472196072</v>
      </c>
      <c r="D44" s="27">
        <v>95395</v>
      </c>
      <c r="E44" s="27">
        <f>1428154+10501</f>
        <v>1438655</v>
      </c>
      <c r="F44" s="28">
        <f t="shared" si="1"/>
        <v>1534050</v>
      </c>
      <c r="G44" s="19">
        <f t="shared" si="3"/>
        <v>129.02934436141865</v>
      </c>
      <c r="H44" s="18">
        <f t="shared" si="0"/>
        <v>514608</v>
      </c>
      <c r="I44" s="19">
        <f t="shared" si="4"/>
        <v>161.79775852508305</v>
      </c>
      <c r="J44" s="21">
        <v>2391890</v>
      </c>
      <c r="K44" s="19">
        <f t="shared" si="5"/>
        <v>132.95444031387964</v>
      </c>
      <c r="L44" s="4"/>
      <c r="M44" s="4"/>
      <c r="N44" s="4"/>
      <c r="O44" s="4"/>
    </row>
    <row r="45" spans="1:15" s="3" customFormat="1" ht="16.5" customHeight="1" hidden="1">
      <c r="A45" s="32" t="s">
        <v>27</v>
      </c>
      <c r="B45" s="18">
        <f>314876+83452</f>
        <v>398328</v>
      </c>
      <c r="C45" s="19">
        <f t="shared" si="2"/>
        <v>101.74533151675692</v>
      </c>
      <c r="D45" s="27">
        <v>109744</v>
      </c>
      <c r="E45" s="27">
        <f>1565932+11211</f>
        <v>1577143</v>
      </c>
      <c r="F45" s="28">
        <f t="shared" si="1"/>
        <v>1686887</v>
      </c>
      <c r="G45" s="19">
        <f t="shared" si="3"/>
        <v>144.2374488724798</v>
      </c>
      <c r="H45" s="18">
        <f t="shared" si="0"/>
        <v>520359</v>
      </c>
      <c r="I45" s="19">
        <f t="shared" si="4"/>
        <v>124.6422234597801</v>
      </c>
      <c r="J45" s="28">
        <v>2605574</v>
      </c>
      <c r="K45" s="19">
        <f t="shared" si="5"/>
        <v>132.69143696612207</v>
      </c>
      <c r="L45" s="4"/>
      <c r="M45" s="4"/>
      <c r="N45" s="4"/>
      <c r="O45" s="4"/>
    </row>
    <row r="46" spans="1:15" s="3" customFormat="1" ht="16.5" customHeight="1" hidden="1">
      <c r="A46" s="32" t="s">
        <v>23</v>
      </c>
      <c r="B46" s="18">
        <f>311629+82436</f>
        <v>394065</v>
      </c>
      <c r="C46" s="19">
        <f>B46/B34*100-100</f>
        <v>126.82088710327281</v>
      </c>
      <c r="D46" s="27">
        <v>108147</v>
      </c>
      <c r="E46" s="27">
        <f>1644641+11357</f>
        <v>1655998</v>
      </c>
      <c r="F46" s="28">
        <f>E46+D46</f>
        <v>1764145</v>
      </c>
      <c r="G46" s="19">
        <f>F46/F34*100-100</f>
        <v>136.11973659555105</v>
      </c>
      <c r="H46" s="18">
        <f t="shared" si="0"/>
        <v>638108</v>
      </c>
      <c r="I46" s="19">
        <f>H46/H34*100-100</f>
        <v>176.90972448240097</v>
      </c>
      <c r="J46" s="21">
        <v>2796318</v>
      </c>
      <c r="K46" s="19">
        <f>J46/J34*100-100</f>
        <v>142.88078046543382</v>
      </c>
      <c r="L46" s="4"/>
      <c r="M46" s="4"/>
      <c r="N46" s="4"/>
      <c r="O46" s="4"/>
    </row>
    <row r="47" spans="1:15" s="3" customFormat="1" ht="16.5" customHeight="1" hidden="1">
      <c r="A47" s="13">
        <v>2</v>
      </c>
      <c r="B47" s="18">
        <f>356554+81152</f>
        <v>437706</v>
      </c>
      <c r="C47" s="19">
        <f t="shared" si="2"/>
        <v>117.13438137144502</v>
      </c>
      <c r="D47" s="27">
        <v>121906</v>
      </c>
      <c r="E47" s="27">
        <f>1663962+8529</f>
        <v>1672491</v>
      </c>
      <c r="F47" s="28">
        <f t="shared" si="1"/>
        <v>1794397</v>
      </c>
      <c r="G47" s="19">
        <f t="shared" si="3"/>
        <v>120.2862842586625</v>
      </c>
      <c r="H47" s="18">
        <f t="shared" si="0"/>
        <v>639778</v>
      </c>
      <c r="I47" s="19">
        <f t="shared" si="4"/>
        <v>139.0531704218511</v>
      </c>
      <c r="J47" s="21">
        <v>2871881</v>
      </c>
      <c r="K47" s="19">
        <f t="shared" si="5"/>
        <v>123.70368004686134</v>
      </c>
      <c r="L47" s="4"/>
      <c r="M47" s="4"/>
      <c r="N47" s="4"/>
      <c r="O47" s="4"/>
    </row>
    <row r="48" spans="1:15" s="3" customFormat="1" ht="16.5" customHeight="1" hidden="1">
      <c r="A48" s="13">
        <v>3</v>
      </c>
      <c r="B48" s="18">
        <f>417233+90398</f>
        <v>507631</v>
      </c>
      <c r="C48" s="19">
        <f t="shared" si="2"/>
        <v>167.71245345905982</v>
      </c>
      <c r="D48" s="27">
        <v>125211</v>
      </c>
      <c r="E48" s="27">
        <f>1744113+5393</f>
        <v>1749506</v>
      </c>
      <c r="F48" s="28">
        <f t="shared" si="1"/>
        <v>1874717</v>
      </c>
      <c r="G48" s="19">
        <f t="shared" si="3"/>
        <v>121.21885800797455</v>
      </c>
      <c r="H48" s="18">
        <f t="shared" si="0"/>
        <v>647283</v>
      </c>
      <c r="I48" s="19">
        <f t="shared" si="4"/>
        <v>138.67367256637166</v>
      </c>
      <c r="J48" s="21">
        <v>3029631</v>
      </c>
      <c r="K48" s="19">
        <f t="shared" si="5"/>
        <v>131.57589391156392</v>
      </c>
      <c r="L48" s="4"/>
      <c r="M48" s="4"/>
      <c r="N48" s="4"/>
      <c r="O48" s="4"/>
    </row>
    <row r="49" spans="1:15" s="3" customFormat="1" ht="16.5" customHeight="1" hidden="1">
      <c r="A49" s="13">
        <v>4</v>
      </c>
      <c r="B49" s="18">
        <f>426603+90720</f>
        <v>517323</v>
      </c>
      <c r="C49" s="19">
        <f t="shared" si="2"/>
        <v>163.94838617508702</v>
      </c>
      <c r="D49" s="27">
        <v>129408</v>
      </c>
      <c r="E49" s="27">
        <f>1847579+3553</f>
        <v>1851132</v>
      </c>
      <c r="F49" s="28">
        <f t="shared" si="1"/>
        <v>1980540</v>
      </c>
      <c r="G49" s="19">
        <f t="shared" si="3"/>
        <v>111.37551935639829</v>
      </c>
      <c r="H49" s="18">
        <f t="shared" si="0"/>
        <v>656405</v>
      </c>
      <c r="I49" s="19">
        <f t="shared" si="4"/>
        <v>146.97956526810475</v>
      </c>
      <c r="J49" s="21">
        <v>3154268</v>
      </c>
      <c r="K49" s="19">
        <f t="shared" si="5"/>
        <v>125.50716928901929</v>
      </c>
      <c r="L49" s="4"/>
      <c r="M49" s="4"/>
      <c r="N49" s="4"/>
      <c r="O49" s="4"/>
    </row>
    <row r="50" spans="1:15" s="3" customFormat="1" ht="16.5" customHeight="1" hidden="1">
      <c r="A50" s="13">
        <v>5</v>
      </c>
      <c r="B50" s="18">
        <f>363651+102632</f>
        <v>466283</v>
      </c>
      <c r="C50" s="19">
        <f t="shared" si="2"/>
        <v>129.07428605116164</v>
      </c>
      <c r="D50" s="27">
        <v>141912</v>
      </c>
      <c r="E50" s="27">
        <f>1968266+2803</f>
        <v>1971069</v>
      </c>
      <c r="F50" s="28">
        <f t="shared" si="1"/>
        <v>2112981</v>
      </c>
      <c r="G50" s="19">
        <f t="shared" si="3"/>
        <v>108.51751888565974</v>
      </c>
      <c r="H50" s="18">
        <f t="shared" si="0"/>
        <v>702661</v>
      </c>
      <c r="I50" s="19">
        <f t="shared" si="4"/>
        <v>113.91482508668798</v>
      </c>
      <c r="J50" s="21">
        <v>3281925</v>
      </c>
      <c r="K50" s="19">
        <f t="shared" si="5"/>
        <v>112.37243288470088</v>
      </c>
      <c r="L50" s="4"/>
      <c r="M50" s="4"/>
      <c r="N50" s="4"/>
      <c r="O50" s="4"/>
    </row>
    <row r="51" spans="1:15" s="3" customFormat="1" ht="16.5" customHeight="1" hidden="1">
      <c r="A51" s="13">
        <v>6</v>
      </c>
      <c r="B51" s="18">
        <f>379523+113601</f>
        <v>493124</v>
      </c>
      <c r="C51" s="19">
        <f t="shared" si="2"/>
        <v>108.7986721541927</v>
      </c>
      <c r="D51" s="27">
        <v>139005</v>
      </c>
      <c r="E51" s="27">
        <f>2089397+1760</f>
        <v>2091157</v>
      </c>
      <c r="F51" s="28">
        <f t="shared" si="1"/>
        <v>2230162</v>
      </c>
      <c r="G51" s="19">
        <f t="shared" si="3"/>
        <v>104.04790660225441</v>
      </c>
      <c r="H51" s="18">
        <f t="shared" si="0"/>
        <v>806385</v>
      </c>
      <c r="I51" s="19">
        <f t="shared" si="4"/>
        <v>139.90128877940808</v>
      </c>
      <c r="J51" s="21">
        <v>3529671</v>
      </c>
      <c r="K51" s="19">
        <f t="shared" si="5"/>
        <v>111.95864439512295</v>
      </c>
      <c r="L51" s="4"/>
      <c r="M51" s="4"/>
      <c r="N51" s="4"/>
      <c r="O51" s="4"/>
    </row>
    <row r="52" spans="1:15" s="3" customFormat="1" ht="16.5" customHeight="1" hidden="1">
      <c r="A52" s="13">
        <v>7</v>
      </c>
      <c r="B52" s="18">
        <f>318236+149186</f>
        <v>467422</v>
      </c>
      <c r="C52" s="19">
        <f t="shared" si="2"/>
        <v>110.30414829478988</v>
      </c>
      <c r="D52" s="27">
        <v>164553</v>
      </c>
      <c r="E52" s="27">
        <f>2266644+2355</f>
        <v>2268999</v>
      </c>
      <c r="F52" s="28">
        <f t="shared" si="1"/>
        <v>2433552</v>
      </c>
      <c r="G52" s="19">
        <f t="shared" si="3"/>
        <v>114.6349035552694</v>
      </c>
      <c r="H52" s="18">
        <f t="shared" si="0"/>
        <v>888560</v>
      </c>
      <c r="I52" s="19">
        <f t="shared" si="4"/>
        <v>158.03678772426053</v>
      </c>
      <c r="J52" s="21">
        <v>3789534</v>
      </c>
      <c r="K52" s="19">
        <f t="shared" si="5"/>
        <v>122.85818125361675</v>
      </c>
      <c r="L52" s="4"/>
      <c r="M52" s="4"/>
      <c r="N52" s="4"/>
      <c r="O52" s="4"/>
    </row>
    <row r="53" spans="1:15" s="3" customFormat="1" ht="16.5" customHeight="1" hidden="1">
      <c r="A53" s="13">
        <v>8</v>
      </c>
      <c r="B53" s="18">
        <f>288038+161549</f>
        <v>449587</v>
      </c>
      <c r="C53" s="19">
        <f t="shared" si="2"/>
        <v>80.44904856130267</v>
      </c>
      <c r="D53" s="27">
        <v>170707</v>
      </c>
      <c r="E53" s="27">
        <f>2356704+709</f>
        <v>2357413</v>
      </c>
      <c r="F53" s="28">
        <f t="shared" si="1"/>
        <v>2528120</v>
      </c>
      <c r="G53" s="19">
        <f t="shared" si="3"/>
        <v>98.57298153233256</v>
      </c>
      <c r="H53" s="18">
        <f t="shared" si="0"/>
        <v>970919</v>
      </c>
      <c r="I53" s="19">
        <f t="shared" si="4"/>
        <v>159.60748138344093</v>
      </c>
      <c r="J53" s="21">
        <v>3948626</v>
      </c>
      <c r="K53" s="19">
        <f t="shared" si="5"/>
        <v>108.22923522165411</v>
      </c>
      <c r="L53" s="4"/>
      <c r="M53" s="4"/>
      <c r="N53" s="4"/>
      <c r="O53" s="4"/>
    </row>
    <row r="54" spans="1:15" s="3" customFormat="1" ht="16.5" customHeight="1" hidden="1">
      <c r="A54" s="13">
        <v>9</v>
      </c>
      <c r="B54" s="18">
        <f>309793+191097</f>
        <v>500890</v>
      </c>
      <c r="C54" s="19">
        <f t="shared" si="2"/>
        <v>81.11506043918294</v>
      </c>
      <c r="D54" s="27">
        <v>171022</v>
      </c>
      <c r="E54" s="27">
        <f>2526533+506</f>
        <v>2527039</v>
      </c>
      <c r="F54" s="28">
        <f t="shared" si="1"/>
        <v>2698061</v>
      </c>
      <c r="G54" s="19">
        <f t="shared" si="3"/>
        <v>98.84080934781247</v>
      </c>
      <c r="H54" s="18">
        <f t="shared" si="0"/>
        <v>1030205</v>
      </c>
      <c r="I54" s="19">
        <f t="shared" si="4"/>
        <v>146.29142191844355</v>
      </c>
      <c r="J54" s="21">
        <v>4229156</v>
      </c>
      <c r="K54" s="19">
        <f t="shared" si="5"/>
        <v>106.12523705477446</v>
      </c>
      <c r="L54" s="4"/>
      <c r="M54" s="4"/>
      <c r="N54" s="4"/>
      <c r="O54" s="4"/>
    </row>
    <row r="55" spans="1:15" s="3" customFormat="1" ht="16.5" customHeight="1" hidden="1">
      <c r="A55" s="13">
        <v>10</v>
      </c>
      <c r="B55" s="18">
        <f>344129+235862</f>
        <v>579991</v>
      </c>
      <c r="C55" s="19">
        <f t="shared" si="2"/>
        <v>111.09772520473155</v>
      </c>
      <c r="D55" s="27">
        <v>185542</v>
      </c>
      <c r="E55" s="27">
        <f>2724691+427</f>
        <v>2725118</v>
      </c>
      <c r="F55" s="28">
        <f t="shared" si="1"/>
        <v>2910660</v>
      </c>
      <c r="G55" s="19">
        <f t="shared" si="3"/>
        <v>101.16691824108014</v>
      </c>
      <c r="H55" s="18">
        <f t="shared" si="0"/>
        <v>1155948</v>
      </c>
      <c r="I55" s="19">
        <f t="shared" si="4"/>
        <v>160.83977940446425</v>
      </c>
      <c r="J55" s="21">
        <v>4646599</v>
      </c>
      <c r="K55" s="19">
        <f t="shared" si="5"/>
        <v>114.64314057359516</v>
      </c>
      <c r="L55" s="4"/>
      <c r="M55" s="4"/>
      <c r="N55" s="4"/>
      <c r="O55" s="4"/>
    </row>
    <row r="56" spans="1:15" s="3" customFormat="1" ht="16.5" customHeight="1" hidden="1">
      <c r="A56" s="13">
        <v>11</v>
      </c>
      <c r="B56" s="18">
        <f>331710+248677</f>
        <v>580387</v>
      </c>
      <c r="C56" s="19">
        <f t="shared" si="2"/>
        <v>69.09466483311579</v>
      </c>
      <c r="D56" s="27">
        <v>174615</v>
      </c>
      <c r="E56" s="27">
        <f>357+2736873</f>
        <v>2737230</v>
      </c>
      <c r="F56" s="28">
        <f t="shared" si="1"/>
        <v>2911845</v>
      </c>
      <c r="G56" s="19">
        <f t="shared" si="3"/>
        <v>89.81421726801605</v>
      </c>
      <c r="H56" s="18">
        <f t="shared" si="0"/>
        <v>1324171</v>
      </c>
      <c r="I56" s="19">
        <f t="shared" si="4"/>
        <v>157.31644280695207</v>
      </c>
      <c r="J56" s="21">
        <v>4816403</v>
      </c>
      <c r="K56" s="19">
        <f t="shared" si="5"/>
        <v>101.3639005138196</v>
      </c>
      <c r="L56" s="4"/>
      <c r="M56" s="4"/>
      <c r="N56" s="4"/>
      <c r="O56" s="4"/>
    </row>
    <row r="57" spans="1:15" s="3" customFormat="1" ht="16.5" customHeight="1" hidden="1">
      <c r="A57" s="32" t="s">
        <v>26</v>
      </c>
      <c r="B57" s="18">
        <f>377668+279439</f>
        <v>657107</v>
      </c>
      <c r="C57" s="19">
        <f t="shared" si="2"/>
        <v>64.96630917234037</v>
      </c>
      <c r="D57" s="27">
        <v>193516</v>
      </c>
      <c r="E57" s="27">
        <f>2886761+185</f>
        <v>2886946</v>
      </c>
      <c r="F57" s="28">
        <f t="shared" si="1"/>
        <v>3080462</v>
      </c>
      <c r="G57" s="19">
        <f t="shared" si="3"/>
        <v>82.61223188038085</v>
      </c>
      <c r="H57" s="18">
        <f t="shared" si="0"/>
        <v>1411660</v>
      </c>
      <c r="I57" s="19">
        <f t="shared" si="4"/>
        <v>171.28578539047078</v>
      </c>
      <c r="J57" s="28">
        <v>5149229</v>
      </c>
      <c r="K57" s="19">
        <f t="shared" si="5"/>
        <v>97.62359464747499</v>
      </c>
      <c r="L57" s="4"/>
      <c r="M57" s="4"/>
      <c r="N57" s="4"/>
      <c r="O57" s="4"/>
    </row>
    <row r="58" spans="1:15" s="3" customFormat="1" ht="16.5" customHeight="1" hidden="1">
      <c r="A58" s="45" t="s">
        <v>33</v>
      </c>
      <c r="B58" s="23">
        <f>360885+329212</f>
        <v>690097</v>
      </c>
      <c r="C58" s="24">
        <f t="shared" si="2"/>
        <v>75.1226320530877</v>
      </c>
      <c r="D58" s="25">
        <f>231764+8</f>
        <v>231772</v>
      </c>
      <c r="E58" s="25">
        <f>3099500-8</f>
        <v>3099492</v>
      </c>
      <c r="F58" s="31">
        <f t="shared" si="1"/>
        <v>3331264</v>
      </c>
      <c r="G58" s="24">
        <f t="shared" si="3"/>
        <v>88.83164365740913</v>
      </c>
      <c r="H58" s="23">
        <f t="shared" si="0"/>
        <v>1336251</v>
      </c>
      <c r="I58" s="24">
        <f t="shared" si="4"/>
        <v>109.40828198361405</v>
      </c>
      <c r="J58" s="26">
        <v>5357612</v>
      </c>
      <c r="K58" s="24">
        <f t="shared" si="5"/>
        <v>91.59523344626757</v>
      </c>
      <c r="L58" s="4"/>
      <c r="M58" s="4"/>
      <c r="N58" s="4"/>
      <c r="O58" s="4"/>
    </row>
    <row r="59" spans="1:15" s="3" customFormat="1" ht="16.5" customHeight="1" hidden="1">
      <c r="A59" s="45" t="s">
        <v>34</v>
      </c>
      <c r="B59" s="18">
        <v>702775</v>
      </c>
      <c r="C59" s="19">
        <f t="shared" si="2"/>
        <v>60.55868551036539</v>
      </c>
      <c r="D59" s="18">
        <v>201556</v>
      </c>
      <c r="E59" s="27">
        <f>11+3066458-8</f>
        <v>3066461</v>
      </c>
      <c r="F59" s="28">
        <f t="shared" si="1"/>
        <v>3268017</v>
      </c>
      <c r="G59" s="19">
        <f t="shared" si="3"/>
        <v>82.12340970253518</v>
      </c>
      <c r="H59" s="18">
        <f t="shared" si="0"/>
        <v>1493778</v>
      </c>
      <c r="I59" s="19">
        <f t="shared" si="4"/>
        <v>133.483802193886</v>
      </c>
      <c r="J59" s="21">
        <v>5464570</v>
      </c>
      <c r="K59" s="19">
        <f t="shared" si="5"/>
        <v>90.27842727466773</v>
      </c>
      <c r="L59" s="4"/>
      <c r="M59" s="4"/>
      <c r="N59" s="4"/>
      <c r="O59" s="4"/>
    </row>
    <row r="60" spans="1:15" s="3" customFormat="1" ht="16.5" customHeight="1" hidden="1">
      <c r="A60" s="45" t="s">
        <v>35</v>
      </c>
      <c r="B60" s="27">
        <f>382583+301164</f>
        <v>683747</v>
      </c>
      <c r="C60" s="19">
        <f t="shared" si="2"/>
        <v>34.693704679186254</v>
      </c>
      <c r="D60" s="27">
        <f>187175+8</f>
        <v>187183</v>
      </c>
      <c r="E60" s="27">
        <f>3281085-8</f>
        <v>3281077</v>
      </c>
      <c r="F60" s="28">
        <f t="shared" si="1"/>
        <v>3468260</v>
      </c>
      <c r="G60" s="19">
        <f t="shared" si="3"/>
        <v>85.00178960344417</v>
      </c>
      <c r="H60" s="18">
        <f t="shared" si="0"/>
        <v>1522764</v>
      </c>
      <c r="I60" s="19">
        <f t="shared" si="4"/>
        <v>135.25474946816152</v>
      </c>
      <c r="J60" s="28">
        <v>5674771</v>
      </c>
      <c r="K60" s="19">
        <f t="shared" si="5"/>
        <v>87.30898251305192</v>
      </c>
      <c r="L60" s="4"/>
      <c r="M60" s="4"/>
      <c r="N60" s="4"/>
      <c r="O60" s="4"/>
    </row>
    <row r="61" spans="1:15" s="3" customFormat="1" ht="16.5" customHeight="1" hidden="1">
      <c r="A61" s="45" t="s">
        <v>36</v>
      </c>
      <c r="B61" s="27">
        <v>800114</v>
      </c>
      <c r="C61" s="19">
        <f t="shared" si="2"/>
        <v>54.66430064002569</v>
      </c>
      <c r="D61" s="27">
        <f>220824+8</f>
        <v>220832</v>
      </c>
      <c r="E61" s="27">
        <f>3524563-8</f>
        <v>3524555</v>
      </c>
      <c r="F61" s="28">
        <f t="shared" si="1"/>
        <v>3745387</v>
      </c>
      <c r="G61" s="19">
        <f t="shared" si="3"/>
        <v>89.10938430932978</v>
      </c>
      <c r="H61" s="18">
        <f t="shared" si="0"/>
        <v>1512191</v>
      </c>
      <c r="I61" s="19">
        <f t="shared" si="4"/>
        <v>130.37469245359193</v>
      </c>
      <c r="J61" s="28">
        <v>6057692</v>
      </c>
      <c r="K61" s="19">
        <f t="shared" si="5"/>
        <v>92.04747345501397</v>
      </c>
      <c r="L61" s="4"/>
      <c r="M61" s="4"/>
      <c r="N61" s="4"/>
      <c r="O61" s="4"/>
    </row>
    <row r="62" spans="1:15" s="3" customFormat="1" ht="16.5" customHeight="1" hidden="1">
      <c r="A62" s="45" t="s">
        <v>37</v>
      </c>
      <c r="B62" s="27">
        <v>878026</v>
      </c>
      <c r="C62" s="19">
        <f t="shared" si="2"/>
        <v>88.30324073577634</v>
      </c>
      <c r="D62" s="27">
        <f>219466+8</f>
        <v>219474</v>
      </c>
      <c r="E62" s="27">
        <f>2218817+1722302+168158-8</f>
        <v>4109269</v>
      </c>
      <c r="F62" s="28">
        <f t="shared" si="1"/>
        <v>4328743</v>
      </c>
      <c r="G62" s="19">
        <f t="shared" si="3"/>
        <v>104.86426522529072</v>
      </c>
      <c r="H62" s="18">
        <f t="shared" si="0"/>
        <v>1549452</v>
      </c>
      <c r="I62" s="19">
        <f t="shared" si="4"/>
        <v>120.51202500209914</v>
      </c>
      <c r="J62" s="28">
        <v>6756221</v>
      </c>
      <c r="K62" s="19">
        <f t="shared" si="5"/>
        <v>105.86152943775375</v>
      </c>
      <c r="L62" s="4"/>
      <c r="M62" s="4"/>
      <c r="N62" s="4"/>
      <c r="O62" s="4"/>
    </row>
    <row r="63" spans="1:15" s="3" customFormat="1" ht="16.5" customHeight="1" hidden="1">
      <c r="A63" s="45" t="s">
        <v>38</v>
      </c>
      <c r="B63" s="27">
        <f>182171+413974+280602+126410+13515+2112</f>
        <v>1018784</v>
      </c>
      <c r="C63" s="19">
        <f t="shared" si="2"/>
        <v>106.59793479936081</v>
      </c>
      <c r="D63" s="27">
        <f>76579+148395+2347+3</f>
        <v>227324</v>
      </c>
      <c r="E63" s="27">
        <f>2440645+1904029+24658</f>
        <v>4369332</v>
      </c>
      <c r="F63" s="28">
        <f t="shared" si="1"/>
        <v>4596656</v>
      </c>
      <c r="G63" s="19">
        <f t="shared" si="3"/>
        <v>106.1130985103324</v>
      </c>
      <c r="H63" s="18">
        <f t="shared" si="0"/>
        <v>1787106</v>
      </c>
      <c r="I63" s="19">
        <f t="shared" si="4"/>
        <v>121.61944976655073</v>
      </c>
      <c r="J63" s="28">
        <v>7402546</v>
      </c>
      <c r="K63" s="19">
        <f t="shared" si="5"/>
        <v>109.72339914966577</v>
      </c>
      <c r="L63" s="4"/>
      <c r="M63" s="4"/>
      <c r="N63" s="4"/>
      <c r="O63" s="4"/>
    </row>
    <row r="64" spans="1:15" s="3" customFormat="1" ht="16.5" customHeight="1" hidden="1">
      <c r="A64" s="45" t="s">
        <v>39</v>
      </c>
      <c r="B64" s="27">
        <f>221146+466744+332594+165274+6983+3004</f>
        <v>1195745</v>
      </c>
      <c r="C64" s="19">
        <f t="shared" si="2"/>
        <v>155.8170133198694</v>
      </c>
      <c r="D64" s="27">
        <f>74168+187091+12050</f>
        <v>273309</v>
      </c>
      <c r="E64" s="27">
        <f>2587427+2058792+2396</f>
        <v>4648615</v>
      </c>
      <c r="F64" s="28">
        <f t="shared" si="1"/>
        <v>4921924</v>
      </c>
      <c r="G64" s="19">
        <f t="shared" si="3"/>
        <v>102.25267428022909</v>
      </c>
      <c r="H64" s="18">
        <f t="shared" si="0"/>
        <v>2138430</v>
      </c>
      <c r="I64" s="19">
        <f t="shared" si="4"/>
        <v>140.6624200954353</v>
      </c>
      <c r="J64" s="28">
        <v>8256099</v>
      </c>
      <c r="K64" s="19">
        <f t="shared" si="5"/>
        <v>117.86581146916743</v>
      </c>
      <c r="L64" s="4"/>
      <c r="M64" s="4"/>
      <c r="N64" s="4"/>
      <c r="O64" s="4"/>
    </row>
    <row r="65" spans="1:15" s="3" customFormat="1" ht="16.5" customHeight="1" hidden="1">
      <c r="A65" s="45" t="s">
        <v>40</v>
      </c>
      <c r="B65" s="27">
        <f>206117+444800+328005+173776+6284+1182</f>
        <v>1160164</v>
      </c>
      <c r="C65" s="19">
        <f t="shared" si="2"/>
        <v>158.05105574671865</v>
      </c>
      <c r="D65" s="27">
        <f>97547+177585+2635</f>
        <v>277767</v>
      </c>
      <c r="E65" s="27">
        <f>2569047+2038712+25170</f>
        <v>4632929</v>
      </c>
      <c r="F65" s="28">
        <f t="shared" si="1"/>
        <v>4910696</v>
      </c>
      <c r="G65" s="19">
        <f t="shared" si="3"/>
        <v>94.2429947945509</v>
      </c>
      <c r="H65" s="18">
        <f t="shared" si="0"/>
        <v>1840383</v>
      </c>
      <c r="I65" s="19">
        <f t="shared" si="4"/>
        <v>89.55062162755081</v>
      </c>
      <c r="J65" s="28">
        <v>7911243</v>
      </c>
      <c r="K65" s="19">
        <f t="shared" si="5"/>
        <v>100.35432578319649</v>
      </c>
      <c r="L65" s="4"/>
      <c r="M65" s="4"/>
      <c r="N65" s="4"/>
      <c r="O65" s="4"/>
    </row>
    <row r="66" spans="1:15" s="3" customFormat="1" ht="16.5" customHeight="1" hidden="1">
      <c r="A66" s="45" t="s">
        <v>41</v>
      </c>
      <c r="B66" s="27">
        <f>248974+447380+340716+207984+20365+2965</f>
        <v>1268384</v>
      </c>
      <c r="C66" s="19">
        <f t="shared" si="2"/>
        <v>153.22605761744094</v>
      </c>
      <c r="D66" s="27">
        <f>98299+181751+2775</f>
        <v>282825</v>
      </c>
      <c r="E66" s="27">
        <f>29506+2210917+2711581</f>
        <v>4952004</v>
      </c>
      <c r="F66" s="28">
        <f t="shared" si="1"/>
        <v>5234829</v>
      </c>
      <c r="G66" s="19">
        <f t="shared" si="3"/>
        <v>94.02189201800849</v>
      </c>
      <c r="H66" s="18">
        <f t="shared" si="0"/>
        <v>1940485</v>
      </c>
      <c r="I66" s="19">
        <f t="shared" si="4"/>
        <v>88.35911299207439</v>
      </c>
      <c r="J66" s="28">
        <v>8443698</v>
      </c>
      <c r="K66" s="19">
        <f t="shared" si="5"/>
        <v>99.65444641909639</v>
      </c>
      <c r="L66" s="4"/>
      <c r="M66" s="4"/>
      <c r="N66" s="4"/>
      <c r="O66" s="4"/>
    </row>
    <row r="67" spans="1:15" s="3" customFormat="1" ht="16.5" customHeight="1" hidden="1">
      <c r="A67" s="45" t="s">
        <v>42</v>
      </c>
      <c r="B67" s="27">
        <f>230772+504637+398615+226043+13323+7478</f>
        <v>1380868</v>
      </c>
      <c r="C67" s="19">
        <f t="shared" si="2"/>
        <v>138.08438406802864</v>
      </c>
      <c r="D67" s="27">
        <f>88615+171193+2787</f>
        <v>262595</v>
      </c>
      <c r="E67" s="27">
        <f>2903571+2441968+41625</f>
        <v>5387164</v>
      </c>
      <c r="F67" s="28">
        <f t="shared" si="1"/>
        <v>5649759</v>
      </c>
      <c r="G67" s="19">
        <f t="shared" si="3"/>
        <v>94.10576982540042</v>
      </c>
      <c r="H67" s="18">
        <f t="shared" si="0"/>
        <v>2020082</v>
      </c>
      <c r="I67" s="19">
        <f t="shared" si="4"/>
        <v>74.75543882596796</v>
      </c>
      <c r="J67" s="28">
        <v>9050709</v>
      </c>
      <c r="K67" s="19">
        <f t="shared" si="5"/>
        <v>94.78136589793957</v>
      </c>
      <c r="L67" s="4"/>
      <c r="M67" s="4"/>
      <c r="N67" s="4"/>
      <c r="O67" s="4"/>
    </row>
    <row r="68" spans="1:15" s="3" customFormat="1" ht="16.5" customHeight="1" hidden="1">
      <c r="A68" s="45" t="s">
        <v>43</v>
      </c>
      <c r="B68" s="27">
        <f>230406+645143+334225+198501+6217+8093</f>
        <v>1422585</v>
      </c>
      <c r="C68" s="19">
        <f t="shared" si="2"/>
        <v>145.10972850873642</v>
      </c>
      <c r="D68" s="27">
        <f>2635+147434+96522</f>
        <v>246591</v>
      </c>
      <c r="E68" s="27">
        <f>3160722+2525906+48811</f>
        <v>5735439</v>
      </c>
      <c r="F68" s="28">
        <f t="shared" si="1"/>
        <v>5982030</v>
      </c>
      <c r="G68" s="19">
        <f t="shared" si="3"/>
        <v>105.43778944277597</v>
      </c>
      <c r="H68" s="18">
        <f t="shared" si="0"/>
        <v>2245766</v>
      </c>
      <c r="I68" s="19">
        <f t="shared" si="4"/>
        <v>69.59788426117171</v>
      </c>
      <c r="J68" s="28">
        <v>9650381</v>
      </c>
      <c r="K68" s="19">
        <f t="shared" si="5"/>
        <v>100.36489886747435</v>
      </c>
      <c r="L68" s="4"/>
      <c r="M68" s="4"/>
      <c r="N68" s="4"/>
      <c r="O68" s="4"/>
    </row>
    <row r="69" spans="1:15" s="3" customFormat="1" ht="16.5" customHeight="1" hidden="1">
      <c r="A69" s="32" t="s">
        <v>44</v>
      </c>
      <c r="B69" s="18">
        <f>287033+831245+365481+244308+17336+9311</f>
        <v>1754714</v>
      </c>
      <c r="C69" s="19">
        <f t="shared" si="2"/>
        <v>167.03626654410925</v>
      </c>
      <c r="D69" s="18">
        <f>103431+153058+2419</f>
        <v>258908</v>
      </c>
      <c r="E69" s="27">
        <f>3271969+2656113+52050</f>
        <v>5980132</v>
      </c>
      <c r="F69" s="28">
        <f t="shared" si="1"/>
        <v>6239040</v>
      </c>
      <c r="G69" s="19">
        <f t="shared" si="3"/>
        <v>102.53585338822555</v>
      </c>
      <c r="H69" s="18">
        <f t="shared" si="0"/>
        <v>2377614</v>
      </c>
      <c r="I69" s="19">
        <f t="shared" si="4"/>
        <v>68.42681665556862</v>
      </c>
      <c r="J69" s="21">
        <v>10371368</v>
      </c>
      <c r="K69" s="19">
        <f t="shared" si="5"/>
        <v>101.41594013395013</v>
      </c>
      <c r="L69" s="4"/>
      <c r="M69" s="4"/>
      <c r="N69" s="4"/>
      <c r="O69" s="4"/>
    </row>
    <row r="70" spans="1:15" s="3" customFormat="1" ht="16.5" customHeight="1" hidden="1">
      <c r="A70" s="32" t="s">
        <v>24</v>
      </c>
      <c r="B70" s="25">
        <f>264744+721191+366729+237837+14523+6579</f>
        <v>1611603</v>
      </c>
      <c r="C70" s="24">
        <f t="shared" si="2"/>
        <v>133.5328221974592</v>
      </c>
      <c r="D70" s="25">
        <f>96803+171873+2927</f>
        <v>271603</v>
      </c>
      <c r="E70" s="25">
        <f>3689070+2873148+40472</f>
        <v>6602690</v>
      </c>
      <c r="F70" s="31">
        <f t="shared" si="1"/>
        <v>6874293</v>
      </c>
      <c r="G70" s="24">
        <f t="shared" si="3"/>
        <v>106.35689636126108</v>
      </c>
      <c r="H70" s="23">
        <f t="shared" si="0"/>
        <v>2783217</v>
      </c>
      <c r="I70" s="24">
        <f t="shared" si="4"/>
        <v>108.28549426716987</v>
      </c>
      <c r="J70" s="31">
        <v>11269113</v>
      </c>
      <c r="K70" s="24">
        <f t="shared" si="5"/>
        <v>110.33835596903992</v>
      </c>
      <c r="L70" s="4"/>
      <c r="M70" s="4"/>
      <c r="N70" s="4"/>
      <c r="O70" s="4"/>
    </row>
    <row r="71" spans="1:15" s="3" customFormat="1" ht="16.5" customHeight="1" hidden="1">
      <c r="A71" s="13">
        <v>2</v>
      </c>
      <c r="B71" s="27">
        <f>241741+746594+351157+241877+13855+12242</f>
        <v>1607466</v>
      </c>
      <c r="C71" s="19">
        <f t="shared" si="2"/>
        <v>128.73124399701186</v>
      </c>
      <c r="D71" s="27">
        <f>2995+195820+117136</f>
        <v>315951</v>
      </c>
      <c r="E71" s="27">
        <f>3814306+3103445+55210</f>
        <v>6972961</v>
      </c>
      <c r="F71" s="28">
        <f t="shared" si="1"/>
        <v>7288912</v>
      </c>
      <c r="G71" s="19">
        <f t="shared" si="3"/>
        <v>123.03776265545741</v>
      </c>
      <c r="H71" s="18">
        <f t="shared" si="0"/>
        <v>2851555</v>
      </c>
      <c r="I71" s="19">
        <f t="shared" si="4"/>
        <v>90.89550120566778</v>
      </c>
      <c r="J71" s="28">
        <v>11747933</v>
      </c>
      <c r="K71" s="19">
        <f t="shared" si="5"/>
        <v>114.98366751638281</v>
      </c>
      <c r="L71" s="4"/>
      <c r="M71" s="4"/>
      <c r="N71" s="4"/>
      <c r="O71" s="4"/>
    </row>
    <row r="72" spans="1:15" s="3" customFormat="1" ht="16.5" customHeight="1" hidden="1">
      <c r="A72" s="13">
        <v>3</v>
      </c>
      <c r="B72" s="18">
        <f>228120+742432+440092+237392+18591+12807</f>
        <v>1679434</v>
      </c>
      <c r="C72" s="19">
        <f t="shared" si="2"/>
        <v>145.62213801303702</v>
      </c>
      <c r="D72" s="27">
        <f>3689+226989+138098</f>
        <v>368776</v>
      </c>
      <c r="E72" s="27">
        <f>4021813+3194775+53151</f>
        <v>7269739</v>
      </c>
      <c r="F72" s="28">
        <f t="shared" si="1"/>
        <v>7638515</v>
      </c>
      <c r="G72" s="19">
        <f t="shared" si="3"/>
        <v>120.24055289972492</v>
      </c>
      <c r="H72" s="18">
        <f t="shared" si="0"/>
        <v>2954963</v>
      </c>
      <c r="I72" s="19">
        <f t="shared" si="4"/>
        <v>94.05259120914337</v>
      </c>
      <c r="J72" s="21">
        <v>12272912</v>
      </c>
      <c r="K72" s="19">
        <f t="shared" si="5"/>
        <v>116.27149359859632</v>
      </c>
      <c r="L72" s="4"/>
      <c r="M72" s="4"/>
      <c r="N72" s="4"/>
      <c r="O72" s="4"/>
    </row>
    <row r="73" spans="1:15" s="3" customFormat="1" ht="16.5" customHeight="1" hidden="1">
      <c r="A73" s="13">
        <v>4</v>
      </c>
      <c r="B73" s="18">
        <f>288011+774904+402121+216624+29232+10022</f>
        <v>1720914</v>
      </c>
      <c r="C73" s="19">
        <f t="shared" si="2"/>
        <v>115.08360058691639</v>
      </c>
      <c r="D73" s="18">
        <f>107070+198364+3543</f>
        <v>308977</v>
      </c>
      <c r="E73" s="27">
        <f>4306370+3283395+54600</f>
        <v>7644365</v>
      </c>
      <c r="F73" s="28">
        <f t="shared" si="1"/>
        <v>7953342</v>
      </c>
      <c r="G73" s="19">
        <f t="shared" si="3"/>
        <v>112.35033923063224</v>
      </c>
      <c r="H73" s="18">
        <f t="shared" si="0"/>
        <v>3351504</v>
      </c>
      <c r="I73" s="19">
        <f t="shared" si="4"/>
        <v>121.63232025584071</v>
      </c>
      <c r="J73" s="28">
        <v>13025760</v>
      </c>
      <c r="K73" s="19">
        <f t="shared" si="5"/>
        <v>115.02842996969801</v>
      </c>
      <c r="L73" s="4"/>
      <c r="M73" s="4"/>
      <c r="N73" s="4"/>
      <c r="O73" s="4"/>
    </row>
    <row r="74" spans="1:15" s="3" customFormat="1" ht="16.5" customHeight="1" hidden="1">
      <c r="A74" s="11">
        <v>5</v>
      </c>
      <c r="B74" s="18">
        <f>255000+809762+396845+242658+8438+7589</f>
        <v>1720292</v>
      </c>
      <c r="C74" s="19">
        <f t="shared" si="2"/>
        <v>95.92722766751783</v>
      </c>
      <c r="D74" s="27">
        <f>115524+185398+3738</f>
        <v>304660</v>
      </c>
      <c r="E74" s="27">
        <f>56337+3391295+4719718</f>
        <v>8167350</v>
      </c>
      <c r="F74" s="28">
        <f t="shared" si="1"/>
        <v>8472010</v>
      </c>
      <c r="G74" s="19">
        <f t="shared" si="3"/>
        <v>95.71524574223972</v>
      </c>
      <c r="H74" s="18">
        <f aca="true" t="shared" si="6" ref="H74:H110">J74-F74-B74</f>
        <v>3553149</v>
      </c>
      <c r="I74" s="19">
        <f t="shared" si="4"/>
        <v>129.31649383136747</v>
      </c>
      <c r="J74" s="28">
        <v>13745451</v>
      </c>
      <c r="K74" s="19">
        <f t="shared" si="5"/>
        <v>103.44880666277788</v>
      </c>
      <c r="L74" s="4"/>
      <c r="M74" s="4"/>
      <c r="N74" s="4"/>
      <c r="O74" s="4"/>
    </row>
    <row r="75" spans="1:15" s="3" customFormat="1" ht="16.5" customHeight="1" hidden="1">
      <c r="A75" s="11">
        <v>6</v>
      </c>
      <c r="B75" s="18">
        <f>268650+926513+431553+263907+12317+5817</f>
        <v>1908757</v>
      </c>
      <c r="C75" s="19">
        <f t="shared" si="2"/>
        <v>87.35639743066244</v>
      </c>
      <c r="D75" s="18">
        <f>3463+185923+129112</f>
        <v>318498</v>
      </c>
      <c r="E75" s="27">
        <f>5051811+3612336+48027</f>
        <v>8712174</v>
      </c>
      <c r="F75" s="28">
        <f aca="true" t="shared" si="7" ref="F75:F138">E75+D75</f>
        <v>9030672</v>
      </c>
      <c r="G75" s="19">
        <f t="shared" si="3"/>
        <v>96.46177569085003</v>
      </c>
      <c r="H75" s="18">
        <f t="shared" si="6"/>
        <v>3508953</v>
      </c>
      <c r="I75" s="19">
        <f t="shared" si="4"/>
        <v>96.348341956213</v>
      </c>
      <c r="J75" s="21">
        <v>14448382</v>
      </c>
      <c r="K75" s="19">
        <f t="shared" si="5"/>
        <v>95.18125250420599</v>
      </c>
      <c r="L75" s="4"/>
      <c r="M75" s="4"/>
      <c r="N75" s="4"/>
      <c r="O75" s="4"/>
    </row>
    <row r="76" spans="1:15" s="3" customFormat="1" ht="16.5" customHeight="1" hidden="1">
      <c r="A76" s="11">
        <v>7</v>
      </c>
      <c r="B76" s="18">
        <f>276552+1035099+485558+276059+10384+4933</f>
        <v>2088585</v>
      </c>
      <c r="C76" s="19">
        <f t="shared" si="2"/>
        <v>74.668093949797</v>
      </c>
      <c r="D76" s="27">
        <f>123997+235641+4040</f>
        <v>363678</v>
      </c>
      <c r="E76" s="27">
        <f>5679315+4009513+43512</f>
        <v>9732340</v>
      </c>
      <c r="F76" s="28">
        <f t="shared" si="7"/>
        <v>10096018</v>
      </c>
      <c r="G76" s="19">
        <f t="shared" si="3"/>
        <v>105.12340296193113</v>
      </c>
      <c r="H76" s="18">
        <f t="shared" si="6"/>
        <v>3625265</v>
      </c>
      <c r="I76" s="19">
        <f t="shared" si="4"/>
        <v>69.529280827523</v>
      </c>
      <c r="J76" s="21">
        <v>15809868</v>
      </c>
      <c r="K76" s="19">
        <f t="shared" si="5"/>
        <v>91.49319793767009</v>
      </c>
      <c r="L76" s="4"/>
      <c r="M76" s="4"/>
      <c r="N76" s="4"/>
      <c r="O76" s="4"/>
    </row>
    <row r="77" spans="1:15" s="3" customFormat="1" ht="16.5" customHeight="1" hidden="1">
      <c r="A77" s="13">
        <v>8</v>
      </c>
      <c r="B77" s="27">
        <f>299620+1072383+476924+248233+11727+4646</f>
        <v>2113533</v>
      </c>
      <c r="C77" s="19">
        <f t="shared" si="2"/>
        <v>82.17536486220914</v>
      </c>
      <c r="D77" s="27">
        <f>162080+230983+3561</f>
        <v>396624</v>
      </c>
      <c r="E77" s="27">
        <f>6185686+4072223+37273</f>
        <v>10295182</v>
      </c>
      <c r="F77" s="28">
        <f t="shared" si="7"/>
        <v>10691806</v>
      </c>
      <c r="G77" s="19">
        <f t="shared" si="3"/>
        <v>117.72486018275208</v>
      </c>
      <c r="H77" s="18">
        <f t="shared" si="6"/>
        <v>3701142</v>
      </c>
      <c r="I77" s="19">
        <f t="shared" si="4"/>
        <v>101.10716084641078</v>
      </c>
      <c r="J77" s="28">
        <v>16506481</v>
      </c>
      <c r="K77" s="19">
        <f t="shared" si="5"/>
        <v>108.64586007533833</v>
      </c>
      <c r="L77" s="4"/>
      <c r="M77" s="4"/>
      <c r="N77" s="4"/>
      <c r="O77" s="4"/>
    </row>
    <row r="78" spans="1:15" s="3" customFormat="1" ht="16.5" customHeight="1" hidden="1">
      <c r="A78" s="13">
        <v>9</v>
      </c>
      <c r="B78" s="27">
        <f>319418+1138296+460203+310403+12450+3922</f>
        <v>2244692</v>
      </c>
      <c r="C78" s="19">
        <f t="shared" si="2"/>
        <v>76.97258874284128</v>
      </c>
      <c r="D78" s="27">
        <f>176132+217667+3973</f>
        <v>397772</v>
      </c>
      <c r="E78" s="27">
        <f>6747814+4302567+36961</f>
        <v>11087342</v>
      </c>
      <c r="F78" s="28">
        <f t="shared" si="7"/>
        <v>11485114</v>
      </c>
      <c r="G78" s="19">
        <f t="shared" si="3"/>
        <v>119.39807393899588</v>
      </c>
      <c r="H78" s="18">
        <f t="shared" si="6"/>
        <v>3586649</v>
      </c>
      <c r="I78" s="19">
        <f t="shared" si="4"/>
        <v>84.83260628141934</v>
      </c>
      <c r="J78" s="28">
        <v>17316455</v>
      </c>
      <c r="K78" s="19">
        <f t="shared" si="5"/>
        <v>105.08141101209446</v>
      </c>
      <c r="L78" s="4"/>
      <c r="M78" s="4"/>
      <c r="N78" s="4"/>
      <c r="O78" s="4"/>
    </row>
    <row r="79" spans="1:15" s="3" customFormat="1" ht="16.5" customHeight="1" hidden="1">
      <c r="A79" s="13">
        <v>10</v>
      </c>
      <c r="B79" s="27">
        <f>375169+1170469+552865+283934+13180+3852</f>
        <v>2399469</v>
      </c>
      <c r="C79" s="19">
        <f t="shared" si="2"/>
        <v>73.76526938128771</v>
      </c>
      <c r="D79" s="27">
        <f>148830+255446+4513</f>
        <v>408789</v>
      </c>
      <c r="E79" s="27">
        <f>33755+4423403+7442852</f>
        <v>11900010</v>
      </c>
      <c r="F79" s="28">
        <f t="shared" si="7"/>
        <v>12308799</v>
      </c>
      <c r="G79" s="19">
        <f t="shared" si="3"/>
        <v>117.86414252360146</v>
      </c>
      <c r="H79" s="18">
        <f t="shared" si="6"/>
        <v>3805036</v>
      </c>
      <c r="I79" s="19">
        <f t="shared" si="4"/>
        <v>88.36047249567096</v>
      </c>
      <c r="J79" s="28">
        <v>18513304</v>
      </c>
      <c r="K79" s="19">
        <f t="shared" si="5"/>
        <v>104.55086999261604</v>
      </c>
      <c r="L79" s="4"/>
      <c r="M79" s="4"/>
      <c r="N79" s="4"/>
      <c r="O79" s="4"/>
    </row>
    <row r="80" spans="1:15" s="3" customFormat="1" ht="16.5" customHeight="1" hidden="1">
      <c r="A80" s="11">
        <v>11</v>
      </c>
      <c r="B80" s="18">
        <f>358788+1180150+499320+310679+14706+3072</f>
        <v>2366715</v>
      </c>
      <c r="C80" s="19">
        <f t="shared" si="2"/>
        <v>66.36721180105232</v>
      </c>
      <c r="D80" s="27">
        <f>168012+240751+3987</f>
        <v>412750</v>
      </c>
      <c r="E80" s="27">
        <f>7767653+4454681+31147</f>
        <v>12253481</v>
      </c>
      <c r="F80" s="28">
        <f t="shared" si="7"/>
        <v>12666231</v>
      </c>
      <c r="G80" s="19">
        <f t="shared" si="3"/>
        <v>111.7380053259512</v>
      </c>
      <c r="H80" s="18">
        <f t="shared" si="6"/>
        <v>4243334</v>
      </c>
      <c r="I80" s="19">
        <f t="shared" si="4"/>
        <v>88.94818070983354</v>
      </c>
      <c r="J80" s="28">
        <v>19276280</v>
      </c>
      <c r="K80" s="19">
        <f t="shared" si="5"/>
        <v>99.74631053426805</v>
      </c>
      <c r="L80" s="4"/>
      <c r="M80" s="4"/>
      <c r="N80" s="4"/>
      <c r="O80" s="4"/>
    </row>
    <row r="81" spans="1:15" s="3" customFormat="1" ht="15.75" hidden="1">
      <c r="A81" s="47" t="s">
        <v>55</v>
      </c>
      <c r="B81" s="18">
        <f>494599+1597773+865951+412490+24520+20042</f>
        <v>3415375</v>
      </c>
      <c r="C81" s="19">
        <f t="shared" si="2"/>
        <v>94.63998121631215</v>
      </c>
      <c r="D81" s="27">
        <f>252657+369342+5293</f>
        <v>627292</v>
      </c>
      <c r="E81" s="27">
        <f>8030677+4660363+50643</f>
        <v>12741683</v>
      </c>
      <c r="F81" s="28">
        <f t="shared" si="7"/>
        <v>13368975</v>
      </c>
      <c r="G81" s="19">
        <f t="shared" si="3"/>
        <v>114.27936028619789</v>
      </c>
      <c r="H81" s="18">
        <f t="shared" si="6"/>
        <v>4572150</v>
      </c>
      <c r="I81" s="19">
        <f t="shared" si="4"/>
        <v>92.29992757445069</v>
      </c>
      <c r="J81" s="28">
        <v>21356500</v>
      </c>
      <c r="K81" s="19">
        <f t="shared" si="5"/>
        <v>105.91786927240457</v>
      </c>
      <c r="L81" s="4"/>
      <c r="M81" s="4"/>
      <c r="N81" s="4"/>
      <c r="O81" s="4"/>
    </row>
    <row r="82" spans="1:15" s="3" customFormat="1" ht="15.75" customHeight="1" hidden="1">
      <c r="A82" s="42" t="s">
        <v>25</v>
      </c>
      <c r="B82" s="23">
        <f>407439+1600823+693864+455946+15889+20965</f>
        <v>3194926</v>
      </c>
      <c r="C82" s="24">
        <f t="shared" si="2"/>
        <v>98.24522540600879</v>
      </c>
      <c r="D82" s="25">
        <f>205040+354141+5241</f>
        <v>564422</v>
      </c>
      <c r="E82" s="25">
        <f>8062025+5014083+69619</f>
        <v>13145727</v>
      </c>
      <c r="F82" s="31">
        <f t="shared" si="7"/>
        <v>13710149</v>
      </c>
      <c r="G82" s="24">
        <f t="shared" si="3"/>
        <v>99.44085886359514</v>
      </c>
      <c r="H82" s="23">
        <f t="shared" si="6"/>
        <v>4672192</v>
      </c>
      <c r="I82" s="24">
        <f t="shared" si="4"/>
        <v>67.87020200005963</v>
      </c>
      <c r="J82" s="26">
        <v>21577267</v>
      </c>
      <c r="K82" s="24">
        <f t="shared" si="5"/>
        <v>91.47262965594541</v>
      </c>
      <c r="L82" s="4"/>
      <c r="M82" s="4"/>
      <c r="N82" s="4"/>
      <c r="O82" s="4"/>
    </row>
    <row r="83" spans="1:15" s="3" customFormat="1" ht="15.75" customHeight="1" hidden="1">
      <c r="A83" s="43">
        <v>2</v>
      </c>
      <c r="B83" s="18">
        <f>593248+1367510+676851+328224+16004+4200</f>
        <v>2986037</v>
      </c>
      <c r="C83" s="19">
        <f t="shared" si="2"/>
        <v>85.76050753173007</v>
      </c>
      <c r="D83" s="27">
        <f>235136+393605+25230</f>
        <v>653971</v>
      </c>
      <c r="E83" s="27">
        <f>7954496+4649990+44507</f>
        <v>12648993</v>
      </c>
      <c r="F83" s="28">
        <f t="shared" si="7"/>
        <v>13302964</v>
      </c>
      <c r="G83" s="19">
        <f t="shared" si="3"/>
        <v>82.50959814029858</v>
      </c>
      <c r="H83" s="18">
        <f t="shared" si="6"/>
        <v>5004491</v>
      </c>
      <c r="I83" s="19">
        <f t="shared" si="4"/>
        <v>75.50041994631002</v>
      </c>
      <c r="J83" s="28">
        <v>21293492</v>
      </c>
      <c r="K83" s="19">
        <f t="shared" si="5"/>
        <v>81.25309362932185</v>
      </c>
      <c r="L83" s="4"/>
      <c r="M83" s="4"/>
      <c r="N83" s="4"/>
      <c r="O83" s="4"/>
    </row>
    <row r="84" spans="1:15" s="3" customFormat="1" ht="15.75" customHeight="1" hidden="1">
      <c r="A84" s="44">
        <v>3</v>
      </c>
      <c r="B84" s="18">
        <f>472177+1226305+840696+370298+14522+4010</f>
        <v>2928008</v>
      </c>
      <c r="C84" s="19">
        <f t="shared" si="2"/>
        <v>74.34492811268558</v>
      </c>
      <c r="D84" s="27">
        <f>200141+470039+5774</f>
        <v>675954</v>
      </c>
      <c r="E84" s="27">
        <f>7999452+4904729+41979</f>
        <v>12946160</v>
      </c>
      <c r="F84" s="28">
        <f t="shared" si="7"/>
        <v>13622114</v>
      </c>
      <c r="G84" s="19">
        <f t="shared" si="3"/>
        <v>78.33458466730772</v>
      </c>
      <c r="H84" s="18">
        <f t="shared" si="6"/>
        <v>4790676</v>
      </c>
      <c r="I84" s="19">
        <f t="shared" si="4"/>
        <v>62.123045195489766</v>
      </c>
      <c r="J84" s="28">
        <v>21340798</v>
      </c>
      <c r="K84" s="19">
        <f t="shared" si="5"/>
        <v>73.88536640692934</v>
      </c>
      <c r="L84" s="4"/>
      <c r="M84" s="4"/>
      <c r="N84" s="4"/>
      <c r="O84" s="4"/>
    </row>
    <row r="85" spans="1:15" s="3" customFormat="1" ht="15.75" customHeight="1" hidden="1">
      <c r="A85" s="44">
        <v>4</v>
      </c>
      <c r="B85" s="18">
        <f>461728+1401308+388760+17073+4250+877296</f>
        <v>3150415</v>
      </c>
      <c r="C85" s="19">
        <f t="shared" si="2"/>
        <v>83.06638216668586</v>
      </c>
      <c r="D85" s="27">
        <f>230994+445374+7243</f>
        <v>683611</v>
      </c>
      <c r="E85" s="27">
        <f>8424873+4723390+40185</f>
        <v>13188448</v>
      </c>
      <c r="F85" s="28">
        <f t="shared" si="7"/>
        <v>13872059</v>
      </c>
      <c r="G85" s="19">
        <f t="shared" si="3"/>
        <v>74.41798680353492</v>
      </c>
      <c r="H85" s="18">
        <f t="shared" si="6"/>
        <v>4995756</v>
      </c>
      <c r="I85" s="19">
        <f t="shared" si="4"/>
        <v>49.060123455021966</v>
      </c>
      <c r="J85" s="28">
        <v>22018230</v>
      </c>
      <c r="K85" s="19">
        <f t="shared" si="5"/>
        <v>69.03604856837529</v>
      </c>
      <c r="L85" s="4"/>
      <c r="M85" s="4"/>
      <c r="N85" s="4"/>
      <c r="O85" s="4"/>
    </row>
    <row r="86" spans="1:15" s="3" customFormat="1" ht="15.75" customHeight="1" hidden="1">
      <c r="A86" s="44">
        <v>5</v>
      </c>
      <c r="B86" s="18">
        <f>469338+1334948+800019+351189+19619+2847</f>
        <v>2977960</v>
      </c>
      <c r="C86" s="19">
        <f t="shared" si="2"/>
        <v>73.10782123034926</v>
      </c>
      <c r="D86" s="27">
        <f>298702+392948+6403</f>
        <v>698053</v>
      </c>
      <c r="E86" s="27">
        <f>8171820+4746682+36188</f>
        <v>12954690</v>
      </c>
      <c r="F86" s="28">
        <f t="shared" si="7"/>
        <v>13652743</v>
      </c>
      <c r="G86" s="19">
        <f t="shared" si="3"/>
        <v>61.151167196450444</v>
      </c>
      <c r="H86" s="18">
        <f t="shared" si="6"/>
        <v>5143634</v>
      </c>
      <c r="I86" s="19">
        <f t="shared" si="4"/>
        <v>44.762687970586086</v>
      </c>
      <c r="J86" s="28">
        <v>21774337</v>
      </c>
      <c r="K86" s="19">
        <f t="shared" si="5"/>
        <v>58.41122273834449</v>
      </c>
      <c r="L86" s="4"/>
      <c r="M86" s="4"/>
      <c r="N86" s="4"/>
      <c r="O86" s="4"/>
    </row>
    <row r="87" spans="1:15" s="3" customFormat="1" ht="15.75" customHeight="1" hidden="1">
      <c r="A87" s="44">
        <v>6</v>
      </c>
      <c r="B87" s="18">
        <f>585946+1506207+1051144+479257+24081+12183</f>
        <v>3658818</v>
      </c>
      <c r="C87" s="19">
        <f aca="true" t="shared" si="8" ref="C87:C150">B87/B75*100-100</f>
        <v>91.68589820495748</v>
      </c>
      <c r="D87" s="27">
        <f>233750+549790+7694</f>
        <v>791234</v>
      </c>
      <c r="E87" s="27">
        <f>8518323+5155586+69935</f>
        <v>13743844</v>
      </c>
      <c r="F87" s="28">
        <f t="shared" si="7"/>
        <v>14535078</v>
      </c>
      <c r="G87" s="19">
        <f aca="true" t="shared" si="9" ref="G87:G150">F87/F75*100-100</f>
        <v>60.952341088237944</v>
      </c>
      <c r="H87" s="18">
        <f t="shared" si="6"/>
        <v>5181261</v>
      </c>
      <c r="I87" s="19">
        <f aca="true" t="shared" si="10" ref="I87:I150">H87/H75*100-100</f>
        <v>47.658318592469016</v>
      </c>
      <c r="J87" s="28">
        <v>23375157</v>
      </c>
      <c r="K87" s="19">
        <f aca="true" t="shared" si="11" ref="K87:K150">J87/J75*100-100</f>
        <v>61.78390770675915</v>
      </c>
      <c r="L87" s="4"/>
      <c r="M87" s="4"/>
      <c r="N87" s="4"/>
      <c r="O87" s="4"/>
    </row>
    <row r="88" spans="1:15" s="3" customFormat="1" ht="15.75" customHeight="1" hidden="1">
      <c r="A88" s="44">
        <v>7</v>
      </c>
      <c r="B88" s="18">
        <f>525490+2024735+1068093+501720+21864+7743</f>
        <v>4149645</v>
      </c>
      <c r="C88" s="19">
        <f t="shared" si="8"/>
        <v>98.68212210659371</v>
      </c>
      <c r="D88" s="27">
        <f>278535+511905+8738</f>
        <v>799178</v>
      </c>
      <c r="E88" s="27">
        <f>8761769+5433335+83755</f>
        <v>14278859</v>
      </c>
      <c r="F88" s="28">
        <f t="shared" si="7"/>
        <v>15078037</v>
      </c>
      <c r="G88" s="19">
        <f t="shared" si="9"/>
        <v>49.346375967237776</v>
      </c>
      <c r="H88" s="18">
        <f t="shared" si="6"/>
        <v>5377202</v>
      </c>
      <c r="I88" s="19">
        <f t="shared" si="10"/>
        <v>48.325763771751866</v>
      </c>
      <c r="J88" s="28">
        <v>24604884</v>
      </c>
      <c r="K88" s="19">
        <f t="shared" si="11"/>
        <v>55.629914177651585</v>
      </c>
      <c r="L88" s="4"/>
      <c r="M88" s="4"/>
      <c r="N88" s="4"/>
      <c r="O88" s="4"/>
    </row>
    <row r="89" spans="1:15" s="3" customFormat="1" ht="15.75" customHeight="1" hidden="1">
      <c r="A89" s="44">
        <v>8</v>
      </c>
      <c r="B89" s="18">
        <f>707268+1853261+906632+431834+25250+9684</f>
        <v>3933929</v>
      </c>
      <c r="C89" s="19">
        <f t="shared" si="8"/>
        <v>86.13047442363094</v>
      </c>
      <c r="D89" s="27">
        <f>328032+495911+7288</f>
        <v>831231</v>
      </c>
      <c r="E89" s="27">
        <f>8647251+5496586+73750</f>
        <v>14217587</v>
      </c>
      <c r="F89" s="28">
        <f t="shared" si="7"/>
        <v>15048818</v>
      </c>
      <c r="G89" s="19">
        <f t="shared" si="9"/>
        <v>40.750945163052904</v>
      </c>
      <c r="H89" s="18">
        <f t="shared" si="6"/>
        <v>5431594</v>
      </c>
      <c r="I89" s="19">
        <f t="shared" si="10"/>
        <v>46.75454224669036</v>
      </c>
      <c r="J89" s="28">
        <v>24414341</v>
      </c>
      <c r="K89" s="19">
        <f t="shared" si="11"/>
        <v>47.907606715204764</v>
      </c>
      <c r="L89" s="4"/>
      <c r="M89" s="4"/>
      <c r="N89" s="4"/>
      <c r="O89" s="4"/>
    </row>
    <row r="90" spans="1:15" s="3" customFormat="1" ht="15.75" customHeight="1" hidden="1">
      <c r="A90" s="44">
        <v>9</v>
      </c>
      <c r="B90" s="18">
        <f>662433+1917683+1228534+438631+18341+10647</f>
        <v>4276269</v>
      </c>
      <c r="C90" s="19">
        <f t="shared" si="8"/>
        <v>90.50582440709013</v>
      </c>
      <c r="D90" s="27">
        <f>275299+581787+8224</f>
        <v>865310</v>
      </c>
      <c r="E90" s="27">
        <f>8752755+5464564+78402</f>
        <v>14295721</v>
      </c>
      <c r="F90" s="28">
        <f t="shared" si="7"/>
        <v>15161031</v>
      </c>
      <c r="G90" s="19">
        <f t="shared" si="9"/>
        <v>32.00592523504773</v>
      </c>
      <c r="H90" s="18">
        <f t="shared" si="6"/>
        <v>5466241</v>
      </c>
      <c r="I90" s="19">
        <f t="shared" si="10"/>
        <v>52.405239542536776</v>
      </c>
      <c r="J90" s="28">
        <v>24903541</v>
      </c>
      <c r="K90" s="19">
        <f t="shared" si="11"/>
        <v>43.81431418844099</v>
      </c>
      <c r="L90" s="4"/>
      <c r="M90" s="4"/>
      <c r="N90" s="4"/>
      <c r="O90" s="4"/>
    </row>
    <row r="91" spans="1:15" s="3" customFormat="1" ht="15.75" customHeight="1" hidden="1">
      <c r="A91" s="44">
        <v>10</v>
      </c>
      <c r="B91" s="18">
        <f>574911+2009063+956602+499280+17486+6983</f>
        <v>4064325</v>
      </c>
      <c r="C91" s="19">
        <f t="shared" si="8"/>
        <v>69.38435128772241</v>
      </c>
      <c r="D91" s="27">
        <f>282401+488200+8360</f>
        <v>778961</v>
      </c>
      <c r="E91" s="27">
        <f>84856+5707096+9074653</f>
        <v>14866605</v>
      </c>
      <c r="F91" s="28">
        <f t="shared" si="7"/>
        <v>15645566</v>
      </c>
      <c r="G91" s="19">
        <f t="shared" si="9"/>
        <v>27.108794286103773</v>
      </c>
      <c r="H91" s="18">
        <f t="shared" si="6"/>
        <v>5519293</v>
      </c>
      <c r="I91" s="19">
        <f t="shared" si="10"/>
        <v>45.0523201357359</v>
      </c>
      <c r="J91" s="28">
        <v>25229184</v>
      </c>
      <c r="K91" s="19">
        <f t="shared" si="11"/>
        <v>36.2759667318162</v>
      </c>
      <c r="L91" s="4"/>
      <c r="M91" s="4"/>
      <c r="N91" s="4"/>
      <c r="O91" s="4"/>
    </row>
    <row r="92" spans="1:15" s="3" customFormat="1" ht="15.75" customHeight="1" hidden="1">
      <c r="A92" s="44">
        <v>11</v>
      </c>
      <c r="B92" s="18">
        <f>596959+2109908+999014+450175+19733+10858</f>
        <v>4186647</v>
      </c>
      <c r="C92" s="19">
        <f t="shared" si="8"/>
        <v>76.89696478029674</v>
      </c>
      <c r="D92" s="27">
        <f>292468+470211+7901</f>
        <v>770580</v>
      </c>
      <c r="E92" s="27">
        <f>9267905+6122017+84220</f>
        <v>15474142</v>
      </c>
      <c r="F92" s="28">
        <f t="shared" si="7"/>
        <v>16244722</v>
      </c>
      <c r="G92" s="19">
        <f t="shared" si="9"/>
        <v>28.252216464392603</v>
      </c>
      <c r="H92" s="18">
        <f t="shared" si="6"/>
        <v>6086068</v>
      </c>
      <c r="I92" s="19">
        <f t="shared" si="10"/>
        <v>43.42656034146734</v>
      </c>
      <c r="J92" s="28">
        <v>26517437</v>
      </c>
      <c r="K92" s="19">
        <f t="shared" si="11"/>
        <v>37.565116298372914</v>
      </c>
      <c r="L92" s="4"/>
      <c r="M92" s="4"/>
      <c r="N92" s="4"/>
      <c r="O92" s="4"/>
    </row>
    <row r="93" spans="1:15" s="3" customFormat="1" ht="15.75" hidden="1">
      <c r="A93" s="54" t="s">
        <v>66</v>
      </c>
      <c r="B93" s="18">
        <f>861468+2334468+1173806+1127719+19590+129054</f>
        <v>5646105</v>
      </c>
      <c r="C93" s="19">
        <f t="shared" si="8"/>
        <v>65.31435054715806</v>
      </c>
      <c r="D93" s="27">
        <f>328486+574043+8030</f>
        <v>910559</v>
      </c>
      <c r="E93" s="27">
        <f>9327825+7620600+164917</f>
        <v>17113342</v>
      </c>
      <c r="F93" s="28">
        <f t="shared" si="7"/>
        <v>18023901</v>
      </c>
      <c r="G93" s="19">
        <f t="shared" si="9"/>
        <v>34.81886980864277</v>
      </c>
      <c r="H93" s="18">
        <f t="shared" si="6"/>
        <v>7184276</v>
      </c>
      <c r="I93" s="19">
        <f t="shared" si="10"/>
        <v>57.13124022615182</v>
      </c>
      <c r="J93" s="28">
        <v>30854282</v>
      </c>
      <c r="K93" s="19">
        <f t="shared" si="11"/>
        <v>44.47255870578044</v>
      </c>
      <c r="L93" s="4"/>
      <c r="M93" s="4"/>
      <c r="N93" s="4"/>
      <c r="O93" s="4"/>
    </row>
    <row r="94" spans="1:15" s="3" customFormat="1" ht="15.75" customHeight="1" hidden="1">
      <c r="A94" s="38" t="s">
        <v>31</v>
      </c>
      <c r="B94" s="18">
        <f>600971+2242465+842318+976828+23169+86210</f>
        <v>4771961</v>
      </c>
      <c r="C94" s="19">
        <f t="shared" si="8"/>
        <v>49.36061116908499</v>
      </c>
      <c r="D94" s="27">
        <f>275084+420749+7455</f>
        <v>703288</v>
      </c>
      <c r="E94" s="27">
        <f>9789155+8393417+96085</f>
        <v>18278657</v>
      </c>
      <c r="F94" s="28">
        <f t="shared" si="7"/>
        <v>18981945</v>
      </c>
      <c r="G94" s="19">
        <f t="shared" si="9"/>
        <v>38.451777584619975</v>
      </c>
      <c r="H94" s="18">
        <f t="shared" si="6"/>
        <v>7567973</v>
      </c>
      <c r="I94" s="19">
        <f t="shared" si="10"/>
        <v>61.97906678492663</v>
      </c>
      <c r="J94" s="28">
        <v>31321879</v>
      </c>
      <c r="K94" s="19">
        <f t="shared" si="11"/>
        <v>45.16147480586861</v>
      </c>
      <c r="L94" s="4"/>
      <c r="M94" s="4"/>
      <c r="N94" s="4"/>
      <c r="O94" s="4"/>
    </row>
    <row r="95" spans="1:15" s="3" customFormat="1" ht="16.5" customHeight="1" hidden="1">
      <c r="A95" s="44">
        <v>2</v>
      </c>
      <c r="B95" s="18">
        <f>552688+2519546+797351+1390790+21451+230996</f>
        <v>5512822</v>
      </c>
      <c r="C95" s="19">
        <f t="shared" si="8"/>
        <v>84.62001642980312</v>
      </c>
      <c r="D95" s="27">
        <f>345755+564218+10965</f>
        <v>920938</v>
      </c>
      <c r="E95" s="27">
        <f>9824081+8222265+253424</f>
        <v>18299770</v>
      </c>
      <c r="F95" s="28">
        <f t="shared" si="7"/>
        <v>19220708</v>
      </c>
      <c r="G95" s="19">
        <f t="shared" si="9"/>
        <v>44.484402122714926</v>
      </c>
      <c r="H95" s="18">
        <f t="shared" si="6"/>
        <v>7204054</v>
      </c>
      <c r="I95" s="19">
        <f t="shared" si="10"/>
        <v>43.95178250895046</v>
      </c>
      <c r="J95" s="28">
        <v>31937584</v>
      </c>
      <c r="K95" s="19">
        <f t="shared" si="11"/>
        <v>49.987536097883805</v>
      </c>
      <c r="L95" s="29"/>
      <c r="M95" s="4"/>
      <c r="N95" s="4"/>
      <c r="O95" s="4"/>
    </row>
    <row r="96" spans="1:15" s="3" customFormat="1" ht="15.75" customHeight="1" hidden="1">
      <c r="A96" s="44">
        <v>3</v>
      </c>
      <c r="B96" s="18">
        <f>811052+2325851+1038158+1893717+18908+294592</f>
        <v>6382278</v>
      </c>
      <c r="C96" s="19">
        <f t="shared" si="8"/>
        <v>117.9733798541534</v>
      </c>
      <c r="D96" s="27">
        <f>270171+704022+8335</f>
        <v>982528</v>
      </c>
      <c r="E96" s="27">
        <f>10818927+10431205+341225</f>
        <v>21591357</v>
      </c>
      <c r="F96" s="28">
        <f t="shared" si="7"/>
        <v>22573885</v>
      </c>
      <c r="G96" s="19">
        <f t="shared" si="9"/>
        <v>65.71499107994546</v>
      </c>
      <c r="H96" s="18">
        <f t="shared" si="6"/>
        <v>7757166</v>
      </c>
      <c r="I96" s="19">
        <f t="shared" si="10"/>
        <v>61.922158793456276</v>
      </c>
      <c r="J96" s="28">
        <v>36713329</v>
      </c>
      <c r="K96" s="19">
        <f t="shared" si="11"/>
        <v>72.03353407871626</v>
      </c>
      <c r="L96" s="29"/>
      <c r="M96" s="4"/>
      <c r="N96" s="4"/>
      <c r="O96" s="4"/>
    </row>
    <row r="97" spans="1:15" s="3" customFormat="1" ht="15.75" customHeight="1" hidden="1">
      <c r="A97" s="44">
        <v>4</v>
      </c>
      <c r="B97" s="18">
        <f>707421+1738947+1073630+1486582+19518+276009</f>
        <v>5302107</v>
      </c>
      <c r="C97" s="19">
        <f t="shared" si="8"/>
        <v>68.29868445903159</v>
      </c>
      <c r="D97" s="27">
        <f>323301+806813+11017</f>
        <v>1141131</v>
      </c>
      <c r="E97" s="27">
        <f>11195535+10226298+313257</f>
        <v>21735090</v>
      </c>
      <c r="F97" s="28">
        <f t="shared" si="7"/>
        <v>22876221</v>
      </c>
      <c r="G97" s="19">
        <f t="shared" si="9"/>
        <v>64.90861954955642</v>
      </c>
      <c r="H97" s="18">
        <f t="shared" si="6"/>
        <v>7606230</v>
      </c>
      <c r="I97" s="19">
        <f t="shared" si="10"/>
        <v>52.25383305349581</v>
      </c>
      <c r="J97" s="28">
        <v>35784558</v>
      </c>
      <c r="K97" s="19">
        <f t="shared" si="11"/>
        <v>62.522409839483004</v>
      </c>
      <c r="L97" s="29"/>
      <c r="M97" s="4"/>
      <c r="N97" s="4"/>
      <c r="O97" s="4"/>
    </row>
    <row r="98" spans="1:15" s="3" customFormat="1" ht="15.75" customHeight="1" hidden="1">
      <c r="A98" s="44">
        <v>5</v>
      </c>
      <c r="B98" s="18">
        <f>942453+1463723+1063851+1346131+26459+215685</f>
        <v>5058302</v>
      </c>
      <c r="C98" s="19">
        <f t="shared" si="8"/>
        <v>69.85795645341108</v>
      </c>
      <c r="D98" s="27">
        <f>355640+723937+10469</f>
        <v>1090046</v>
      </c>
      <c r="E98" s="27">
        <f>11514417+10792316+189294</f>
        <v>22496027</v>
      </c>
      <c r="F98" s="28">
        <f t="shared" si="7"/>
        <v>23586073</v>
      </c>
      <c r="G98" s="19">
        <f t="shared" si="9"/>
        <v>72.75702765371034</v>
      </c>
      <c r="H98" s="18">
        <f t="shared" si="6"/>
        <v>7852191</v>
      </c>
      <c r="I98" s="19">
        <f t="shared" si="10"/>
        <v>52.658431762446554</v>
      </c>
      <c r="J98" s="28">
        <v>36496566</v>
      </c>
      <c r="K98" s="19">
        <f t="shared" si="11"/>
        <v>67.61275440900909</v>
      </c>
      <c r="L98" s="29"/>
      <c r="M98" s="4"/>
      <c r="N98" s="4"/>
      <c r="O98" s="4"/>
    </row>
    <row r="99" spans="1:15" s="3" customFormat="1" ht="15.75" customHeight="1" hidden="1">
      <c r="A99" s="44">
        <v>6</v>
      </c>
      <c r="B99" s="18">
        <f>1025440+1296931+1294770+1606622+22838+127122</f>
        <v>5373723</v>
      </c>
      <c r="C99" s="19">
        <f t="shared" si="8"/>
        <v>46.870464723853445</v>
      </c>
      <c r="D99" s="27">
        <f>366429+1118892+11469</f>
        <v>1496790</v>
      </c>
      <c r="E99" s="27">
        <f>11129286+11898099+162547</f>
        <v>23189932</v>
      </c>
      <c r="F99" s="28">
        <f t="shared" si="7"/>
        <v>24686722</v>
      </c>
      <c r="G99" s="19">
        <f t="shared" si="9"/>
        <v>69.84237717884966</v>
      </c>
      <c r="H99" s="18">
        <f t="shared" si="6"/>
        <v>8023089</v>
      </c>
      <c r="I99" s="19">
        <f t="shared" si="10"/>
        <v>54.84819236089439</v>
      </c>
      <c r="J99" s="28">
        <v>38083534</v>
      </c>
      <c r="K99" s="19">
        <f t="shared" si="11"/>
        <v>62.9231153399312</v>
      </c>
      <c r="L99" s="29"/>
      <c r="M99" s="4"/>
      <c r="N99" s="4"/>
      <c r="O99" s="4"/>
    </row>
    <row r="100" spans="1:15" s="3" customFormat="1" ht="15.75" customHeight="1" hidden="1">
      <c r="A100" s="44">
        <v>7</v>
      </c>
      <c r="B100" s="18">
        <f>893354+1243231+1146932+1149349+19876+114054</f>
        <v>4566796</v>
      </c>
      <c r="C100" s="19">
        <f t="shared" si="8"/>
        <v>10.052691254312123</v>
      </c>
      <c r="D100" s="27">
        <f>418367+1083124+10392</f>
        <v>1511883</v>
      </c>
      <c r="E100" s="27">
        <f>11145329+10650146+126396</f>
        <v>21921871</v>
      </c>
      <c r="F100" s="28">
        <f t="shared" si="7"/>
        <v>23433754</v>
      </c>
      <c r="G100" s="19">
        <f t="shared" si="9"/>
        <v>55.41647762238546</v>
      </c>
      <c r="H100" s="18">
        <f t="shared" si="6"/>
        <v>7755739</v>
      </c>
      <c r="I100" s="19">
        <f t="shared" si="10"/>
        <v>44.23372973527867</v>
      </c>
      <c r="J100" s="28">
        <v>35756289</v>
      </c>
      <c r="K100" s="19">
        <f t="shared" si="11"/>
        <v>45.32191657558718</v>
      </c>
      <c r="L100" s="29"/>
      <c r="M100" s="4"/>
      <c r="N100" s="4"/>
      <c r="O100" s="4"/>
    </row>
    <row r="101" spans="1:15" s="3" customFormat="1" ht="15.75" customHeight="1" hidden="1">
      <c r="A101" s="44">
        <v>8</v>
      </c>
      <c r="B101" s="18">
        <f>1051975+1439078+1348632+1285346+50158+181862</f>
        <v>5357051</v>
      </c>
      <c r="C101" s="19">
        <f t="shared" si="8"/>
        <v>36.17558934083459</v>
      </c>
      <c r="D101" s="27">
        <f>411673+1104511+12260</f>
        <v>1528444</v>
      </c>
      <c r="E101" s="27">
        <f>11443396+10930249+318901</f>
        <v>22692546</v>
      </c>
      <c r="F101" s="28">
        <f t="shared" si="7"/>
        <v>24220990</v>
      </c>
      <c r="G101" s="19">
        <f t="shared" si="9"/>
        <v>60.94945131238879</v>
      </c>
      <c r="H101" s="18">
        <f t="shared" si="6"/>
        <v>8528170</v>
      </c>
      <c r="I101" s="19">
        <f t="shared" si="10"/>
        <v>57.010446657095514</v>
      </c>
      <c r="J101" s="28">
        <v>38106211</v>
      </c>
      <c r="K101" s="19">
        <f t="shared" si="11"/>
        <v>56.08125978088043</v>
      </c>
      <c r="L101" s="29"/>
      <c r="M101" s="4"/>
      <c r="N101" s="4"/>
      <c r="O101" s="4"/>
    </row>
    <row r="102" spans="1:15" s="3" customFormat="1" ht="15.75" customHeight="1" hidden="1">
      <c r="A102" s="44">
        <v>9</v>
      </c>
      <c r="B102" s="18">
        <f>1061139+1467904+1577978+1729804+23440+83571</f>
        <v>5943836</v>
      </c>
      <c r="C102" s="19">
        <f t="shared" si="8"/>
        <v>38.995839597555715</v>
      </c>
      <c r="D102" s="27">
        <f>422509+867524+10334</f>
        <v>1300367</v>
      </c>
      <c r="E102" s="27">
        <f>11942556+11436680+211127</f>
        <v>23590363</v>
      </c>
      <c r="F102" s="28">
        <f t="shared" si="7"/>
        <v>24890730</v>
      </c>
      <c r="G102" s="19">
        <f t="shared" si="9"/>
        <v>64.1757081032286</v>
      </c>
      <c r="H102" s="18">
        <f t="shared" si="6"/>
        <v>8324268</v>
      </c>
      <c r="I102" s="19">
        <f t="shared" si="10"/>
        <v>52.285052927596865</v>
      </c>
      <c r="J102" s="28">
        <v>39158834</v>
      </c>
      <c r="K102" s="19">
        <f t="shared" si="11"/>
        <v>57.242032368007415</v>
      </c>
      <c r="L102" s="29"/>
      <c r="M102" s="4"/>
      <c r="N102" s="4"/>
      <c r="O102" s="4"/>
    </row>
    <row r="103" spans="1:15" s="3" customFormat="1" ht="15.75" customHeight="1" hidden="1">
      <c r="A103" s="44">
        <v>10</v>
      </c>
      <c r="B103" s="18">
        <f>968317+1907519+1409443+1934447+24554+242901</f>
        <v>6487181</v>
      </c>
      <c r="C103" s="19">
        <f t="shared" si="8"/>
        <v>59.61275242506443</v>
      </c>
      <c r="D103" s="27">
        <f>464352+716533+12169</f>
        <v>1193054</v>
      </c>
      <c r="E103" s="27">
        <f>11530337+11399109+330202</f>
        <v>23259648</v>
      </c>
      <c r="F103" s="28">
        <f t="shared" si="7"/>
        <v>24452702</v>
      </c>
      <c r="G103" s="19">
        <f t="shared" si="9"/>
        <v>56.291578073941196</v>
      </c>
      <c r="H103" s="18">
        <f t="shared" si="6"/>
        <v>9018234</v>
      </c>
      <c r="I103" s="19">
        <f t="shared" si="10"/>
        <v>63.39473189772676</v>
      </c>
      <c r="J103" s="28">
        <v>39958117</v>
      </c>
      <c r="K103" s="19">
        <f t="shared" si="11"/>
        <v>58.38053660395835</v>
      </c>
      <c r="L103" s="29"/>
      <c r="M103" s="4"/>
      <c r="N103" s="4"/>
      <c r="O103" s="4"/>
    </row>
    <row r="104" spans="1:15" s="3" customFormat="1" ht="15.75" customHeight="1" hidden="1">
      <c r="A104" s="44">
        <v>11</v>
      </c>
      <c r="B104" s="18">
        <f>964131+1513538+1555881+1681686+28167+146707</f>
        <v>5890110</v>
      </c>
      <c r="C104" s="19">
        <f t="shared" si="8"/>
        <v>40.68800163949814</v>
      </c>
      <c r="D104" s="27">
        <f>414304+823271+13251</f>
        <v>1250826</v>
      </c>
      <c r="E104" s="27">
        <f>12685650+11804385+354082</f>
        <v>24844117</v>
      </c>
      <c r="F104" s="28">
        <f t="shared" si="7"/>
        <v>26094943</v>
      </c>
      <c r="G104" s="19">
        <f t="shared" si="9"/>
        <v>60.636439330879284</v>
      </c>
      <c r="H104" s="18">
        <f t="shared" si="6"/>
        <v>9313344</v>
      </c>
      <c r="I104" s="19">
        <f t="shared" si="10"/>
        <v>53.02727475276319</v>
      </c>
      <c r="J104" s="28">
        <v>41298397</v>
      </c>
      <c r="K104" s="19">
        <f t="shared" si="11"/>
        <v>55.74053027824672</v>
      </c>
      <c r="L104" s="29"/>
      <c r="M104" s="4"/>
      <c r="N104" s="4"/>
      <c r="O104" s="4"/>
    </row>
    <row r="105" spans="1:15" s="3" customFormat="1" ht="15.75" hidden="1">
      <c r="A105" s="54" t="s">
        <v>67</v>
      </c>
      <c r="B105" s="18">
        <f>1097057+1936133+1977540+2623144+26327+62043</f>
        <v>7722244</v>
      </c>
      <c r="C105" s="19">
        <f t="shared" si="8"/>
        <v>36.77117233916124</v>
      </c>
      <c r="D105" s="27">
        <f>589262+879091+16370</f>
        <v>1484723</v>
      </c>
      <c r="E105" s="27">
        <f>13439071+12073802+261356</f>
        <v>25774229</v>
      </c>
      <c r="F105" s="28">
        <f t="shared" si="7"/>
        <v>27258952</v>
      </c>
      <c r="G105" s="19">
        <f t="shared" si="9"/>
        <v>51.2378036253084</v>
      </c>
      <c r="H105" s="27">
        <f t="shared" si="6"/>
        <v>9940489</v>
      </c>
      <c r="I105" s="19">
        <f t="shared" si="10"/>
        <v>38.364519959979276</v>
      </c>
      <c r="J105" s="28">
        <v>44921685</v>
      </c>
      <c r="K105" s="19">
        <f t="shared" si="11"/>
        <v>45.59303308370616</v>
      </c>
      <c r="L105" s="30"/>
      <c r="M105" s="2"/>
      <c r="N105" s="2"/>
      <c r="O105" s="2"/>
    </row>
    <row r="106" spans="1:15" s="3" customFormat="1" ht="15.75" customHeight="1" hidden="1">
      <c r="A106" s="44" t="s">
        <v>32</v>
      </c>
      <c r="B106" s="18">
        <f>1269602+2307417+1436947+2432751+20682+110537</f>
        <v>7577936</v>
      </c>
      <c r="C106" s="19">
        <f t="shared" si="8"/>
        <v>58.80129783122703</v>
      </c>
      <c r="D106" s="27">
        <f>612745+822090+13906</f>
        <v>1448741</v>
      </c>
      <c r="E106" s="27">
        <f>13857778+12395964+227482</f>
        <v>26481224</v>
      </c>
      <c r="F106" s="28">
        <f t="shared" si="7"/>
        <v>27929965</v>
      </c>
      <c r="G106" s="19">
        <f t="shared" si="9"/>
        <v>47.13963716573829</v>
      </c>
      <c r="H106" s="18">
        <f t="shared" si="6"/>
        <v>9388770</v>
      </c>
      <c r="I106" s="19">
        <f t="shared" si="10"/>
        <v>24.05924281178065</v>
      </c>
      <c r="J106" s="28">
        <v>44896671</v>
      </c>
      <c r="K106" s="19">
        <f t="shared" si="11"/>
        <v>43.33964766290043</v>
      </c>
      <c r="L106" s="30"/>
      <c r="M106" s="2"/>
      <c r="N106" s="2"/>
      <c r="O106" s="2"/>
    </row>
    <row r="107" spans="1:15" s="3" customFormat="1" ht="15.75" customHeight="1" hidden="1">
      <c r="A107" s="44" t="s">
        <v>45</v>
      </c>
      <c r="B107" s="18">
        <f>821831+2185990+1496534+2411796+20343+125284</f>
        <v>7061778</v>
      </c>
      <c r="C107" s="19">
        <f t="shared" si="8"/>
        <v>28.09733381560298</v>
      </c>
      <c r="D107" s="27">
        <f>772275+1005198+25079</f>
        <v>1802552</v>
      </c>
      <c r="E107" s="27">
        <f>14146647+12381567+222337</f>
        <v>26750551</v>
      </c>
      <c r="F107" s="28">
        <f t="shared" si="7"/>
        <v>28553103</v>
      </c>
      <c r="G107" s="19">
        <f t="shared" si="9"/>
        <v>48.5538566009119</v>
      </c>
      <c r="H107" s="18">
        <f t="shared" si="6"/>
        <v>9348372</v>
      </c>
      <c r="I107" s="19">
        <f t="shared" si="10"/>
        <v>29.765434850988072</v>
      </c>
      <c r="J107" s="28">
        <v>44963253</v>
      </c>
      <c r="K107" s="19">
        <f t="shared" si="11"/>
        <v>40.78476631169096</v>
      </c>
      <c r="L107" s="30"/>
      <c r="M107" s="2"/>
      <c r="N107" s="2"/>
      <c r="O107" s="2"/>
    </row>
    <row r="108" spans="1:15" s="3" customFormat="1" ht="15.75" customHeight="1" hidden="1">
      <c r="A108" s="44" t="s">
        <v>46</v>
      </c>
      <c r="B108" s="18">
        <f>893459+2310860+2046238+2358463+16059+47354</f>
        <v>7672433</v>
      </c>
      <c r="C108" s="19">
        <f t="shared" si="8"/>
        <v>20.21464749733559</v>
      </c>
      <c r="D108" s="27">
        <f>809931+967101+19048</f>
        <v>1796080</v>
      </c>
      <c r="E108" s="27">
        <f>15058066+12265965+225189</f>
        <v>27549220</v>
      </c>
      <c r="F108" s="28">
        <f t="shared" si="7"/>
        <v>29345300</v>
      </c>
      <c r="G108" s="19">
        <f t="shared" si="9"/>
        <v>29.996675361817438</v>
      </c>
      <c r="H108" s="18">
        <f t="shared" si="6"/>
        <v>10203178</v>
      </c>
      <c r="I108" s="19">
        <f t="shared" si="10"/>
        <v>31.53228898285792</v>
      </c>
      <c r="J108" s="28">
        <v>47220911</v>
      </c>
      <c r="K108" s="19">
        <f t="shared" si="11"/>
        <v>28.62061895830803</v>
      </c>
      <c r="L108" s="30"/>
      <c r="M108" s="2"/>
      <c r="N108" s="2"/>
      <c r="O108" s="2"/>
    </row>
    <row r="109" spans="1:15" s="3" customFormat="1" ht="15.75" customHeight="1" hidden="1">
      <c r="A109" s="44" t="s">
        <v>47</v>
      </c>
      <c r="B109" s="18">
        <f>926633+2423309+1657904+2824144+15902+125663</f>
        <v>7973555</v>
      </c>
      <c r="C109" s="19">
        <f t="shared" si="8"/>
        <v>50.384648970682775</v>
      </c>
      <c r="D109" s="27">
        <f>758806+881871+16843</f>
        <v>1657520</v>
      </c>
      <c r="E109" s="27">
        <f>15402676+12850868+205707</f>
        <v>28459251</v>
      </c>
      <c r="F109" s="28">
        <f t="shared" si="7"/>
        <v>30116771</v>
      </c>
      <c r="G109" s="19">
        <f t="shared" si="9"/>
        <v>31.650988159276835</v>
      </c>
      <c r="H109" s="18">
        <f t="shared" si="6"/>
        <v>10241471</v>
      </c>
      <c r="I109" s="19">
        <f t="shared" si="10"/>
        <v>34.6458232264867</v>
      </c>
      <c r="J109" s="28">
        <v>48331797</v>
      </c>
      <c r="K109" s="19">
        <f t="shared" si="11"/>
        <v>35.06327785297779</v>
      </c>
      <c r="L109" s="30"/>
      <c r="M109" s="2"/>
      <c r="N109" s="2"/>
      <c r="O109" s="2"/>
    </row>
    <row r="110" spans="1:15" s="3" customFormat="1" ht="15.75" customHeight="1" hidden="1">
      <c r="A110" s="44" t="s">
        <v>48</v>
      </c>
      <c r="B110" s="18">
        <f>857607+2302567+1839201+3257282+21313+101048</f>
        <v>8379018</v>
      </c>
      <c r="C110" s="19">
        <f t="shared" si="8"/>
        <v>65.64882840130937</v>
      </c>
      <c r="D110" s="27">
        <f>571355+961533+19677</f>
        <v>1552565</v>
      </c>
      <c r="E110" s="27">
        <f>15292654+13475285+238308</f>
        <v>29006247</v>
      </c>
      <c r="F110" s="28">
        <f t="shared" si="7"/>
        <v>30558812</v>
      </c>
      <c r="G110" s="19">
        <f t="shared" si="9"/>
        <v>29.562950135870437</v>
      </c>
      <c r="H110" s="18">
        <f t="shared" si="6"/>
        <v>10135183</v>
      </c>
      <c r="I110" s="19">
        <f t="shared" si="10"/>
        <v>29.074585679334575</v>
      </c>
      <c r="J110" s="28">
        <v>49073013</v>
      </c>
      <c r="K110" s="19">
        <f t="shared" si="11"/>
        <v>34.45926118090122</v>
      </c>
      <c r="L110" s="30"/>
      <c r="M110" s="2"/>
      <c r="N110" s="2"/>
      <c r="O110" s="2"/>
    </row>
    <row r="111" spans="1:15" s="3" customFormat="1" ht="15.75" customHeight="1" hidden="1">
      <c r="A111" s="44" t="s">
        <v>49</v>
      </c>
      <c r="B111" s="18">
        <f>1185551+2605312+2170536+2725703+19575+190547</f>
        <v>8897224</v>
      </c>
      <c r="C111" s="19">
        <f t="shared" si="8"/>
        <v>65.56908497144346</v>
      </c>
      <c r="D111" s="27">
        <f>653022+1089053+22346</f>
        <v>1764421</v>
      </c>
      <c r="E111" s="27">
        <f>15432815+13565146+253604</f>
        <v>29251565</v>
      </c>
      <c r="F111" s="28">
        <f>E111+D111</f>
        <v>31015986</v>
      </c>
      <c r="G111" s="19">
        <f t="shared" si="9"/>
        <v>25.63833302777097</v>
      </c>
      <c r="H111" s="18">
        <f>J111-F111-B111</f>
        <v>9635253</v>
      </c>
      <c r="I111" s="19">
        <f t="shared" si="10"/>
        <v>20.094056042504334</v>
      </c>
      <c r="J111" s="28">
        <v>49548463</v>
      </c>
      <c r="K111" s="19">
        <f t="shared" si="11"/>
        <v>30.104687763483298</v>
      </c>
      <c r="L111" s="30"/>
      <c r="M111" s="2"/>
      <c r="N111" s="2"/>
      <c r="O111" s="2"/>
    </row>
    <row r="112" spans="1:15" s="3" customFormat="1" ht="15.75" customHeight="1" hidden="1">
      <c r="A112" s="44" t="s">
        <v>50</v>
      </c>
      <c r="B112" s="18">
        <f>909558+2958467+2086442+3138534+26235+304496</f>
        <v>9423732</v>
      </c>
      <c r="C112" s="19">
        <f t="shared" si="8"/>
        <v>106.3532507254539</v>
      </c>
      <c r="D112" s="27">
        <f>719761+1013115+18727</f>
        <v>1751603</v>
      </c>
      <c r="E112" s="27">
        <f>15731844+13776694+255253</f>
        <v>29763791</v>
      </c>
      <c r="F112" s="28">
        <f>E112+D112</f>
        <v>31515394</v>
      </c>
      <c r="G112" s="19">
        <f t="shared" si="9"/>
        <v>34.4871760623586</v>
      </c>
      <c r="H112" s="18">
        <f>J112-F112-B112</f>
        <v>10010019</v>
      </c>
      <c r="I112" s="19">
        <f t="shared" si="10"/>
        <v>29.065960058738455</v>
      </c>
      <c r="J112" s="28">
        <v>50949145</v>
      </c>
      <c r="K112" s="19">
        <f t="shared" si="11"/>
        <v>42.490024621962306</v>
      </c>
      <c r="L112" s="30"/>
      <c r="M112" s="2"/>
      <c r="N112" s="2"/>
      <c r="O112" s="2"/>
    </row>
    <row r="113" spans="1:15" s="3" customFormat="1" ht="15.75" customHeight="1" hidden="1">
      <c r="A113" s="44" t="s">
        <v>51</v>
      </c>
      <c r="B113" s="18">
        <f>1015905+2556190+2036528+2133919+20078+88666</f>
        <v>7851286</v>
      </c>
      <c r="C113" s="19">
        <f t="shared" si="8"/>
        <v>46.55985167959014</v>
      </c>
      <c r="D113" s="27">
        <f>706113+1055805+22148</f>
        <v>1784066</v>
      </c>
      <c r="E113" s="27">
        <f>16182227+13491119+174350</f>
        <v>29847696</v>
      </c>
      <c r="F113" s="28">
        <f t="shared" si="7"/>
        <v>31631762</v>
      </c>
      <c r="G113" s="19">
        <f t="shared" si="9"/>
        <v>30.59648676623047</v>
      </c>
      <c r="H113" s="18">
        <f>J113-F113-B113</f>
        <v>10822344</v>
      </c>
      <c r="I113" s="19">
        <f t="shared" si="10"/>
        <v>26.90112884710318</v>
      </c>
      <c r="J113" s="28">
        <v>50305392</v>
      </c>
      <c r="K113" s="19">
        <f t="shared" si="11"/>
        <v>32.013628959331584</v>
      </c>
      <c r="L113" s="30"/>
      <c r="M113" s="2"/>
      <c r="N113" s="2"/>
      <c r="O113" s="2"/>
    </row>
    <row r="114" spans="1:15" s="3" customFormat="1" ht="15.75" customHeight="1" hidden="1">
      <c r="A114" s="44" t="s">
        <v>52</v>
      </c>
      <c r="B114" s="18">
        <f>1179152+2820167+2244488+2744117+25111+137225</f>
        <v>9150260</v>
      </c>
      <c r="C114" s="19">
        <f t="shared" si="8"/>
        <v>53.94536457600782</v>
      </c>
      <c r="D114" s="27">
        <f>756556+1054369+19541</f>
        <v>1830466</v>
      </c>
      <c r="E114" s="27">
        <f>16528241+13982242+19541</f>
        <v>30530024</v>
      </c>
      <c r="F114" s="28">
        <f t="shared" si="7"/>
        <v>32360490</v>
      </c>
      <c r="G114" s="19">
        <f t="shared" si="9"/>
        <v>30.010208619835595</v>
      </c>
      <c r="H114" s="18">
        <f aca="true" t="shared" si="12" ref="H114:H151">J114-F114-B114</f>
        <v>10491788</v>
      </c>
      <c r="I114" s="19">
        <f t="shared" si="10"/>
        <v>26.0385657934127</v>
      </c>
      <c r="J114" s="28">
        <v>52002538</v>
      </c>
      <c r="K114" s="19">
        <f t="shared" si="11"/>
        <v>32.798994985397144</v>
      </c>
      <c r="L114" s="30"/>
      <c r="M114" s="2"/>
      <c r="N114" s="2"/>
      <c r="O114" s="2"/>
    </row>
    <row r="115" spans="1:15" s="3" customFormat="1" ht="15.75" customHeight="1" hidden="1">
      <c r="A115" s="44" t="s">
        <v>53</v>
      </c>
      <c r="B115" s="18">
        <f>1449805+3292683+2180984+3294224+23390+207674</f>
        <v>10448760</v>
      </c>
      <c r="C115" s="19">
        <f t="shared" si="8"/>
        <v>61.06780433596657</v>
      </c>
      <c r="D115" s="27">
        <f>821581+1062994+19992</f>
        <v>1904567</v>
      </c>
      <c r="E115" s="27">
        <f>16668064+14016997+162696</f>
        <v>30847757</v>
      </c>
      <c r="F115" s="28">
        <f t="shared" si="7"/>
        <v>32752324</v>
      </c>
      <c r="G115" s="19">
        <f t="shared" si="9"/>
        <v>33.94153333239001</v>
      </c>
      <c r="H115" s="18">
        <f t="shared" si="12"/>
        <v>10975232</v>
      </c>
      <c r="I115" s="19">
        <f t="shared" si="10"/>
        <v>21.700457096145428</v>
      </c>
      <c r="J115" s="28">
        <v>54176316</v>
      </c>
      <c r="K115" s="19">
        <f t="shared" si="11"/>
        <v>35.5827553135199</v>
      </c>
      <c r="L115" s="30"/>
      <c r="M115" s="2"/>
      <c r="N115" s="2"/>
      <c r="O115" s="2"/>
    </row>
    <row r="116" spans="1:15" s="3" customFormat="1" ht="15.75" customHeight="1" hidden="1">
      <c r="A116" s="44" t="s">
        <v>54</v>
      </c>
      <c r="B116" s="18">
        <f>1153491+3095256+2177540+2939407+40618+219728</f>
        <v>9626040</v>
      </c>
      <c r="C116" s="19">
        <f t="shared" si="8"/>
        <v>63.427168592776695</v>
      </c>
      <c r="D116" s="27">
        <f>855714+1164040+22494</f>
        <v>2042248</v>
      </c>
      <c r="E116" s="27">
        <f>16623580+14477728+181899</f>
        <v>31283207</v>
      </c>
      <c r="F116" s="28">
        <f t="shared" si="7"/>
        <v>33325455</v>
      </c>
      <c r="G116" s="19">
        <f t="shared" si="9"/>
        <v>27.7084797617684</v>
      </c>
      <c r="H116" s="18">
        <f t="shared" si="12"/>
        <v>12292162</v>
      </c>
      <c r="I116" s="19">
        <f t="shared" si="10"/>
        <v>31.98440860769236</v>
      </c>
      <c r="J116" s="28">
        <v>55243657</v>
      </c>
      <c r="K116" s="19">
        <f t="shared" si="11"/>
        <v>33.76707333216831</v>
      </c>
      <c r="L116" s="30"/>
      <c r="M116" s="2"/>
      <c r="N116" s="2"/>
      <c r="O116" s="2"/>
    </row>
    <row r="117" spans="1:15" s="3" customFormat="1" ht="15.75" hidden="1">
      <c r="A117" s="54" t="s">
        <v>79</v>
      </c>
      <c r="B117" s="18">
        <f>1283187+3447467+2476717+4557683+24283+255853</f>
        <v>12045190</v>
      </c>
      <c r="C117" s="19">
        <f t="shared" si="8"/>
        <v>55.98043781056387</v>
      </c>
      <c r="D117" s="27">
        <f>908920+1134691+21074</f>
        <v>2064685</v>
      </c>
      <c r="E117" s="27">
        <f>16861627+15529367+223234</f>
        <v>32614228</v>
      </c>
      <c r="F117" s="28">
        <f t="shared" si="7"/>
        <v>34678913</v>
      </c>
      <c r="G117" s="19">
        <f t="shared" si="9"/>
        <v>27.220272444810064</v>
      </c>
      <c r="H117" s="18">
        <f t="shared" si="12"/>
        <v>9570096</v>
      </c>
      <c r="I117" s="19">
        <f t="shared" si="10"/>
        <v>-3.7261044200139395</v>
      </c>
      <c r="J117" s="28">
        <v>56294199</v>
      </c>
      <c r="K117" s="19">
        <f t="shared" si="11"/>
        <v>25.31631215525418</v>
      </c>
      <c r="L117" s="30"/>
      <c r="M117" s="2"/>
      <c r="N117" s="2"/>
      <c r="O117" s="2"/>
    </row>
    <row r="118" spans="1:15" s="3" customFormat="1" ht="15.75" customHeight="1" hidden="1">
      <c r="A118" s="44" t="s">
        <v>56</v>
      </c>
      <c r="B118" s="18">
        <f>1165632+3369413+2205321+4077526+21767+177147</f>
        <v>11016806</v>
      </c>
      <c r="C118" s="19">
        <f t="shared" si="8"/>
        <v>45.38003488021013</v>
      </c>
      <c r="D118" s="27">
        <f>763026+1135854+22947</f>
        <v>1921827</v>
      </c>
      <c r="E118" s="27">
        <f>17253850+15417093+192567</f>
        <v>32863510</v>
      </c>
      <c r="F118" s="28">
        <f t="shared" si="7"/>
        <v>34785337</v>
      </c>
      <c r="G118" s="19">
        <f t="shared" si="9"/>
        <v>24.54486427032758</v>
      </c>
      <c r="H118" s="18">
        <f t="shared" si="12"/>
        <v>12041517</v>
      </c>
      <c r="I118" s="19">
        <f t="shared" si="10"/>
        <v>28.254467837640078</v>
      </c>
      <c r="J118" s="28">
        <v>57843660</v>
      </c>
      <c r="K118" s="19">
        <f t="shared" si="11"/>
        <v>28.83730288154328</v>
      </c>
      <c r="L118" s="30"/>
      <c r="M118" s="2"/>
      <c r="N118" s="2"/>
      <c r="O118" s="2"/>
    </row>
    <row r="119" spans="1:15" s="3" customFormat="1" ht="15.75" customHeight="1" hidden="1">
      <c r="A119" s="44" t="s">
        <v>57</v>
      </c>
      <c r="B119" s="18">
        <f>1206609+3103753+2186020+3610579+22877+150151</f>
        <v>10279989</v>
      </c>
      <c r="C119" s="19">
        <f t="shared" si="8"/>
        <v>45.572248235501036</v>
      </c>
      <c r="D119" s="27">
        <f>926384+1184370+22933</f>
        <v>2133687</v>
      </c>
      <c r="E119" s="27">
        <f>17669231+15556236+197089</f>
        <v>33422556</v>
      </c>
      <c r="F119" s="28">
        <f t="shared" si="7"/>
        <v>35556243</v>
      </c>
      <c r="G119" s="19">
        <f t="shared" si="9"/>
        <v>24.526721316418758</v>
      </c>
      <c r="H119" s="18">
        <f t="shared" si="12"/>
        <v>12312855</v>
      </c>
      <c r="I119" s="19">
        <f t="shared" si="10"/>
        <v>31.7112220181225</v>
      </c>
      <c r="J119" s="28">
        <v>58149087</v>
      </c>
      <c r="K119" s="19">
        <f t="shared" si="11"/>
        <v>29.325800782252117</v>
      </c>
      <c r="L119" s="30"/>
      <c r="M119" s="2"/>
      <c r="N119" s="2"/>
      <c r="O119" s="2"/>
    </row>
    <row r="120" spans="1:15" s="3" customFormat="1" ht="15.75" customHeight="1" hidden="1">
      <c r="A120" s="44" t="s">
        <v>58</v>
      </c>
      <c r="B120" s="18">
        <f>1217906+3538965+2394873+3759102+27198+195077</f>
        <v>11133121</v>
      </c>
      <c r="C120" s="19">
        <f t="shared" si="8"/>
        <v>45.10548348874471</v>
      </c>
      <c r="D120" s="27">
        <f>910103+1251131+22438</f>
        <v>2183672</v>
      </c>
      <c r="E120" s="27">
        <f>17935460+16853883+222224</f>
        <v>35011567</v>
      </c>
      <c r="F120" s="28">
        <f t="shared" si="7"/>
        <v>37195239</v>
      </c>
      <c r="G120" s="19">
        <f t="shared" si="9"/>
        <v>26.75024279867644</v>
      </c>
      <c r="H120" s="18">
        <f t="shared" si="12"/>
        <v>10307016</v>
      </c>
      <c r="I120" s="19">
        <f t="shared" si="10"/>
        <v>1.0177025236646813</v>
      </c>
      <c r="J120" s="28">
        <v>58635376</v>
      </c>
      <c r="K120" s="19">
        <f t="shared" si="11"/>
        <v>24.17247943395246</v>
      </c>
      <c r="L120" s="30"/>
      <c r="M120" s="2"/>
      <c r="N120" s="2"/>
      <c r="O120" s="2"/>
    </row>
    <row r="121" spans="1:15" s="3" customFormat="1" ht="15.75" customHeight="1" hidden="1">
      <c r="A121" s="44" t="s">
        <v>59</v>
      </c>
      <c r="B121" s="18">
        <v>10940616</v>
      </c>
      <c r="C121" s="19">
        <f t="shared" si="8"/>
        <v>37.21126900109172</v>
      </c>
      <c r="D121" s="27">
        <v>2249830</v>
      </c>
      <c r="E121" s="27">
        <v>34977611</v>
      </c>
      <c r="F121" s="28">
        <f t="shared" si="7"/>
        <v>37227441</v>
      </c>
      <c r="G121" s="19">
        <f t="shared" si="9"/>
        <v>23.610333259166467</v>
      </c>
      <c r="H121" s="18">
        <f t="shared" si="12"/>
        <v>11434582</v>
      </c>
      <c r="I121" s="19">
        <f t="shared" si="10"/>
        <v>11.649801088144457</v>
      </c>
      <c r="J121" s="28">
        <v>59602639</v>
      </c>
      <c r="K121" s="19">
        <f t="shared" si="11"/>
        <v>23.31972469386976</v>
      </c>
      <c r="L121" s="30"/>
      <c r="M121" s="2"/>
      <c r="N121" s="2"/>
      <c r="O121" s="2"/>
    </row>
    <row r="122" spans="1:15" s="3" customFormat="1" ht="15.75" customHeight="1" hidden="1">
      <c r="A122" s="44" t="s">
        <v>60</v>
      </c>
      <c r="B122" s="18">
        <v>10763387</v>
      </c>
      <c r="C122" s="19">
        <f t="shared" si="8"/>
        <v>28.45642532334935</v>
      </c>
      <c r="D122" s="27">
        <v>2323516</v>
      </c>
      <c r="E122" s="27">
        <v>36026151</v>
      </c>
      <c r="F122" s="28">
        <f t="shared" si="7"/>
        <v>38349667</v>
      </c>
      <c r="G122" s="19">
        <f t="shared" si="9"/>
        <v>25.49462655812667</v>
      </c>
      <c r="H122" s="18">
        <f t="shared" si="12"/>
        <v>12703691</v>
      </c>
      <c r="I122" s="19">
        <f t="shared" si="10"/>
        <v>25.3424925825217</v>
      </c>
      <c r="J122" s="28">
        <v>61816745</v>
      </c>
      <c r="K122" s="19">
        <f t="shared" si="11"/>
        <v>25.96892104424076</v>
      </c>
      <c r="L122" s="30"/>
      <c r="M122" s="2"/>
      <c r="N122" s="2"/>
      <c r="O122" s="2"/>
    </row>
    <row r="123" spans="1:15" s="3" customFormat="1" ht="15.75" customHeight="1" hidden="1">
      <c r="A123" s="44" t="s">
        <v>61</v>
      </c>
      <c r="B123" s="18">
        <v>11882991</v>
      </c>
      <c r="C123" s="19">
        <f t="shared" si="8"/>
        <v>33.558411027979076</v>
      </c>
      <c r="D123" s="27">
        <v>2852830</v>
      </c>
      <c r="E123" s="27">
        <v>36274390</v>
      </c>
      <c r="F123" s="28">
        <f t="shared" si="7"/>
        <v>39127220</v>
      </c>
      <c r="G123" s="19">
        <f t="shared" si="9"/>
        <v>26.15178508269898</v>
      </c>
      <c r="H123" s="18">
        <f t="shared" si="12"/>
        <v>12083088</v>
      </c>
      <c r="I123" s="19">
        <f t="shared" si="10"/>
        <v>25.404989365613943</v>
      </c>
      <c r="J123" s="28">
        <v>63093299</v>
      </c>
      <c r="K123" s="19">
        <f t="shared" si="11"/>
        <v>27.33654119604074</v>
      </c>
      <c r="L123" s="30"/>
      <c r="M123" s="2"/>
      <c r="N123" s="2"/>
      <c r="O123" s="2"/>
    </row>
    <row r="124" spans="1:15" s="3" customFormat="1" ht="15.75" customHeight="1" hidden="1">
      <c r="A124" s="44" t="s">
        <v>50</v>
      </c>
      <c r="B124" s="18">
        <v>13335772</v>
      </c>
      <c r="C124" s="19">
        <f t="shared" si="8"/>
        <v>41.51264063961071</v>
      </c>
      <c r="D124" s="27">
        <v>3008768</v>
      </c>
      <c r="E124" s="27">
        <v>37157758</v>
      </c>
      <c r="F124" s="28">
        <f t="shared" si="7"/>
        <v>40166526</v>
      </c>
      <c r="G124" s="19">
        <f t="shared" si="9"/>
        <v>27.450496097240602</v>
      </c>
      <c r="H124" s="18">
        <f t="shared" si="12"/>
        <v>12595962</v>
      </c>
      <c r="I124" s="19">
        <f t="shared" si="10"/>
        <v>25.833547368891118</v>
      </c>
      <c r="J124" s="28">
        <v>66098260</v>
      </c>
      <c r="K124" s="19">
        <f t="shared" si="11"/>
        <v>29.733796317877363</v>
      </c>
      <c r="L124" s="30"/>
      <c r="M124" s="2"/>
      <c r="N124" s="2"/>
      <c r="O124" s="2"/>
    </row>
    <row r="125" spans="1:15" s="3" customFormat="1" ht="15.75" customHeight="1" hidden="1">
      <c r="A125" s="43" t="s">
        <v>51</v>
      </c>
      <c r="B125" s="18">
        <v>12544796</v>
      </c>
      <c r="C125" s="19">
        <f t="shared" si="8"/>
        <v>59.780143023703374</v>
      </c>
      <c r="D125" s="27">
        <v>2871865</v>
      </c>
      <c r="E125" s="27">
        <v>38262856</v>
      </c>
      <c r="F125" s="28">
        <f t="shared" si="7"/>
        <v>41134721</v>
      </c>
      <c r="G125" s="19">
        <f t="shared" si="9"/>
        <v>30.04245858956577</v>
      </c>
      <c r="H125" s="18">
        <f t="shared" si="12"/>
        <v>13571628</v>
      </c>
      <c r="I125" s="19">
        <f t="shared" si="10"/>
        <v>25.40377574396082</v>
      </c>
      <c r="J125" s="28">
        <v>67251145</v>
      </c>
      <c r="K125" s="19">
        <f t="shared" si="11"/>
        <v>33.685758775122935</v>
      </c>
      <c r="L125" s="30"/>
      <c r="M125" s="2"/>
      <c r="N125" s="2"/>
      <c r="O125" s="2"/>
    </row>
    <row r="126" spans="1:15" s="3" customFormat="1" ht="15.75" customHeight="1" hidden="1">
      <c r="A126" s="38" t="s">
        <v>62</v>
      </c>
      <c r="B126" s="18">
        <v>13769980</v>
      </c>
      <c r="C126" s="19">
        <f t="shared" si="8"/>
        <v>50.48730855735246</v>
      </c>
      <c r="D126" s="27">
        <v>2930266</v>
      </c>
      <c r="E126" s="27">
        <v>38694562</v>
      </c>
      <c r="F126" s="28">
        <f t="shared" si="7"/>
        <v>41624828</v>
      </c>
      <c r="G126" s="19">
        <f t="shared" si="9"/>
        <v>28.628546724725112</v>
      </c>
      <c r="H126" s="18">
        <f t="shared" si="12"/>
        <v>14389572</v>
      </c>
      <c r="I126" s="19">
        <f t="shared" si="10"/>
        <v>37.15080785086394</v>
      </c>
      <c r="J126" s="28">
        <v>69784380</v>
      </c>
      <c r="K126" s="19">
        <f t="shared" si="11"/>
        <v>34.19418106093207</v>
      </c>
      <c r="L126" s="30"/>
      <c r="M126" s="2"/>
      <c r="N126" s="2"/>
      <c r="O126" s="2"/>
    </row>
    <row r="127" spans="1:15" s="3" customFormat="1" ht="15.75" customHeight="1" hidden="1">
      <c r="A127" s="32" t="s">
        <v>63</v>
      </c>
      <c r="B127" s="27">
        <v>14543916</v>
      </c>
      <c r="C127" s="19">
        <f t="shared" si="8"/>
        <v>39.192746316309325</v>
      </c>
      <c r="D127" s="27">
        <v>2978484</v>
      </c>
      <c r="E127" s="27">
        <v>39453540</v>
      </c>
      <c r="F127" s="28">
        <f t="shared" si="7"/>
        <v>42432024</v>
      </c>
      <c r="G127" s="19">
        <f t="shared" si="9"/>
        <v>29.55423865494248</v>
      </c>
      <c r="H127" s="18">
        <f t="shared" si="12"/>
        <v>15839946</v>
      </c>
      <c r="I127" s="19">
        <f t="shared" si="10"/>
        <v>44.32447532771974</v>
      </c>
      <c r="J127" s="28">
        <v>72815886</v>
      </c>
      <c r="K127" s="19">
        <f t="shared" si="11"/>
        <v>34.405384817971026</v>
      </c>
      <c r="L127" s="30"/>
      <c r="M127" s="2"/>
      <c r="N127" s="2"/>
      <c r="O127" s="2"/>
    </row>
    <row r="128" spans="1:15" s="3" customFormat="1" ht="15.75" customHeight="1" hidden="1">
      <c r="A128" s="32" t="s">
        <v>64</v>
      </c>
      <c r="B128" s="27">
        <v>13960197</v>
      </c>
      <c r="C128" s="19">
        <f t="shared" si="8"/>
        <v>45.025337521971636</v>
      </c>
      <c r="D128" s="27">
        <v>3106328</v>
      </c>
      <c r="E128" s="27">
        <v>40684596</v>
      </c>
      <c r="F128" s="28">
        <f t="shared" si="7"/>
        <v>43790924</v>
      </c>
      <c r="G128" s="19">
        <f t="shared" si="9"/>
        <v>31.403829295053868</v>
      </c>
      <c r="H128" s="18">
        <f t="shared" si="12"/>
        <v>16218235</v>
      </c>
      <c r="I128" s="19">
        <f t="shared" si="10"/>
        <v>31.93964576776648</v>
      </c>
      <c r="J128" s="28">
        <v>73969356</v>
      </c>
      <c r="K128" s="19">
        <f t="shared" si="11"/>
        <v>33.896559382373965</v>
      </c>
      <c r="L128" s="30"/>
      <c r="M128" s="2"/>
      <c r="N128" s="2"/>
      <c r="O128" s="2"/>
    </row>
    <row r="129" spans="1:15" s="3" customFormat="1" ht="15.75" hidden="1">
      <c r="A129" s="33" t="s">
        <v>81</v>
      </c>
      <c r="B129" s="27">
        <v>14765434</v>
      </c>
      <c r="C129" s="19">
        <f t="shared" si="8"/>
        <v>22.583653724017623</v>
      </c>
      <c r="D129" s="27">
        <v>3719120</v>
      </c>
      <c r="E129" s="27">
        <v>41396994</v>
      </c>
      <c r="F129" s="28">
        <f t="shared" si="7"/>
        <v>45116114</v>
      </c>
      <c r="G129" s="19">
        <f t="shared" si="9"/>
        <v>30.09667863580384</v>
      </c>
      <c r="H129" s="18">
        <f t="shared" si="12"/>
        <v>15795526</v>
      </c>
      <c r="I129" s="19">
        <f t="shared" si="10"/>
        <v>65.0508626036771</v>
      </c>
      <c r="J129" s="28">
        <v>75677074</v>
      </c>
      <c r="K129" s="19">
        <f t="shared" si="11"/>
        <v>34.43138963572429</v>
      </c>
      <c r="L129" s="30"/>
      <c r="M129" s="2"/>
      <c r="N129" s="2"/>
      <c r="O129" s="2"/>
    </row>
    <row r="130" spans="1:15" s="58" customFormat="1" ht="15.75" customHeight="1" hidden="1">
      <c r="A130" s="44" t="s">
        <v>65</v>
      </c>
      <c r="B130" s="27">
        <v>14765934</v>
      </c>
      <c r="C130" s="19">
        <f t="shared" si="8"/>
        <v>34.03098865496952</v>
      </c>
      <c r="D130" s="27">
        <v>4296684</v>
      </c>
      <c r="E130" s="27">
        <v>48115484</v>
      </c>
      <c r="F130" s="28">
        <f t="shared" si="7"/>
        <v>52412168</v>
      </c>
      <c r="G130" s="19">
        <f t="shared" si="9"/>
        <v>50.673164385327084</v>
      </c>
      <c r="H130" s="18">
        <f t="shared" si="12"/>
        <v>14875856</v>
      </c>
      <c r="I130" s="19">
        <f t="shared" si="10"/>
        <v>23.538055877843306</v>
      </c>
      <c r="J130" s="28">
        <v>82053958</v>
      </c>
      <c r="K130" s="19">
        <f t="shared" si="11"/>
        <v>41.854713204524046</v>
      </c>
      <c r="L130" s="30"/>
      <c r="M130" s="57"/>
      <c r="N130" s="57"/>
      <c r="O130" s="57"/>
    </row>
    <row r="131" spans="1:15" s="58" customFormat="1" ht="15.75" customHeight="1" hidden="1">
      <c r="A131" s="44">
        <v>2</v>
      </c>
      <c r="B131" s="27">
        <v>14943412</v>
      </c>
      <c r="C131" s="19">
        <f t="shared" si="8"/>
        <v>45.364085506317195</v>
      </c>
      <c r="D131" s="27">
        <v>3913810</v>
      </c>
      <c r="E131" s="27">
        <v>48792974</v>
      </c>
      <c r="F131" s="28">
        <f t="shared" si="7"/>
        <v>52706784</v>
      </c>
      <c r="G131" s="19">
        <f t="shared" si="9"/>
        <v>48.23496396961849</v>
      </c>
      <c r="H131" s="18">
        <f t="shared" si="12"/>
        <v>18014384</v>
      </c>
      <c r="I131" s="19">
        <f t="shared" si="10"/>
        <v>46.30549941504225</v>
      </c>
      <c r="J131" s="28">
        <v>85664580</v>
      </c>
      <c r="K131" s="19">
        <f t="shared" si="11"/>
        <v>47.31887363940899</v>
      </c>
      <c r="L131" s="30"/>
      <c r="M131" s="57"/>
      <c r="N131" s="57"/>
      <c r="O131" s="57"/>
    </row>
    <row r="132" spans="1:15" s="58" customFormat="1" ht="15.75" customHeight="1" hidden="1">
      <c r="A132" s="44">
        <v>3</v>
      </c>
      <c r="B132" s="27">
        <v>15433258</v>
      </c>
      <c r="C132" s="19">
        <f t="shared" si="8"/>
        <v>38.62472167508105</v>
      </c>
      <c r="D132" s="27">
        <v>4014971</v>
      </c>
      <c r="E132" s="27">
        <v>50254223</v>
      </c>
      <c r="F132" s="28">
        <f t="shared" si="7"/>
        <v>54269194</v>
      </c>
      <c r="G132" s="19">
        <f t="shared" si="9"/>
        <v>45.90360341548015</v>
      </c>
      <c r="H132" s="18">
        <f t="shared" si="12"/>
        <v>16702352</v>
      </c>
      <c r="I132" s="19">
        <f t="shared" si="10"/>
        <v>62.04837559192691</v>
      </c>
      <c r="J132" s="28">
        <v>86404804</v>
      </c>
      <c r="K132" s="19">
        <f t="shared" si="11"/>
        <v>47.359512114324986</v>
      </c>
      <c r="L132" s="30"/>
      <c r="M132" s="57"/>
      <c r="N132" s="57"/>
      <c r="O132" s="57"/>
    </row>
    <row r="133" spans="1:15" s="58" customFormat="1" ht="15.75" customHeight="1" hidden="1">
      <c r="A133" s="44">
        <v>4</v>
      </c>
      <c r="B133" s="27">
        <v>16229299</v>
      </c>
      <c r="C133" s="19">
        <f t="shared" si="8"/>
        <v>48.3399015192563</v>
      </c>
      <c r="D133" s="27">
        <v>4355535</v>
      </c>
      <c r="E133" s="27">
        <v>50998607</v>
      </c>
      <c r="F133" s="28">
        <f t="shared" si="7"/>
        <v>55354142</v>
      </c>
      <c r="G133" s="19">
        <f t="shared" si="9"/>
        <v>48.69177282424542</v>
      </c>
      <c r="H133" s="18">
        <f t="shared" si="12"/>
        <v>17378237</v>
      </c>
      <c r="I133" s="19">
        <f t="shared" si="10"/>
        <v>51.979643855805136</v>
      </c>
      <c r="J133" s="28">
        <v>88961678</v>
      </c>
      <c r="K133" s="19">
        <f t="shared" si="11"/>
        <v>49.257951480973844</v>
      </c>
      <c r="L133" s="30"/>
      <c r="M133" s="57"/>
      <c r="N133" s="57"/>
      <c r="O133" s="57"/>
    </row>
    <row r="134" spans="1:15" s="58" customFormat="1" ht="15.75" customHeight="1" hidden="1">
      <c r="A134" s="44">
        <v>5</v>
      </c>
      <c r="B134" s="27">
        <v>16041013</v>
      </c>
      <c r="C134" s="19">
        <f t="shared" si="8"/>
        <v>49.033134272696856</v>
      </c>
      <c r="D134" s="27">
        <v>4309085</v>
      </c>
      <c r="E134" s="27">
        <v>52231158</v>
      </c>
      <c r="F134" s="28">
        <f t="shared" si="7"/>
        <v>56540243</v>
      </c>
      <c r="G134" s="19">
        <f t="shared" si="9"/>
        <v>47.43346532839516</v>
      </c>
      <c r="H134" s="18">
        <f t="shared" si="12"/>
        <v>15624369</v>
      </c>
      <c r="I134" s="19">
        <f t="shared" si="10"/>
        <v>22.990782757546597</v>
      </c>
      <c r="J134" s="28">
        <v>88205625</v>
      </c>
      <c r="K134" s="19">
        <f t="shared" si="11"/>
        <v>42.68888632036513</v>
      </c>
      <c r="L134" s="30"/>
      <c r="M134" s="57"/>
      <c r="N134" s="57"/>
      <c r="O134" s="57"/>
    </row>
    <row r="135" spans="1:15" s="58" customFormat="1" ht="15.75" customHeight="1" hidden="1">
      <c r="A135" s="44">
        <v>6</v>
      </c>
      <c r="B135" s="27">
        <v>17634125</v>
      </c>
      <c r="C135" s="19">
        <f t="shared" si="8"/>
        <v>48.398033794690235</v>
      </c>
      <c r="D135" s="27">
        <v>4611294</v>
      </c>
      <c r="E135" s="27">
        <v>52238989</v>
      </c>
      <c r="F135" s="28">
        <f t="shared" si="7"/>
        <v>56850283</v>
      </c>
      <c r="G135" s="19">
        <f t="shared" si="9"/>
        <v>45.295993428615674</v>
      </c>
      <c r="H135" s="18">
        <f t="shared" si="12"/>
        <v>15388583</v>
      </c>
      <c r="I135" s="19">
        <f t="shared" si="10"/>
        <v>27.356376118422702</v>
      </c>
      <c r="J135" s="28">
        <v>89872991</v>
      </c>
      <c r="K135" s="19">
        <f t="shared" si="11"/>
        <v>42.44458987633536</v>
      </c>
      <c r="L135" s="30"/>
      <c r="M135" s="57"/>
      <c r="N135" s="57"/>
      <c r="O135" s="57"/>
    </row>
    <row r="136" spans="1:15" s="58" customFormat="1" ht="15.75" customHeight="1" hidden="1">
      <c r="A136" s="44">
        <v>7</v>
      </c>
      <c r="B136" s="27">
        <v>17791480</v>
      </c>
      <c r="C136" s="19">
        <f t="shared" si="8"/>
        <v>33.41169900025284</v>
      </c>
      <c r="D136" s="27">
        <v>4906292</v>
      </c>
      <c r="E136" s="27">
        <v>52181165</v>
      </c>
      <c r="F136" s="28">
        <f t="shared" si="7"/>
        <v>57087457</v>
      </c>
      <c r="G136" s="19">
        <f t="shared" si="9"/>
        <v>42.12694670183825</v>
      </c>
      <c r="H136" s="18">
        <f t="shared" si="12"/>
        <v>15943989</v>
      </c>
      <c r="I136" s="19">
        <f t="shared" si="10"/>
        <v>26.58016116593555</v>
      </c>
      <c r="J136" s="28">
        <v>90822926</v>
      </c>
      <c r="K136" s="19">
        <f t="shared" si="11"/>
        <v>37.40592566279355</v>
      </c>
      <c r="L136" s="30"/>
      <c r="M136" s="57"/>
      <c r="N136" s="57"/>
      <c r="O136" s="57"/>
    </row>
    <row r="137" spans="1:15" s="58" customFormat="1" ht="15.75" customHeight="1" hidden="1">
      <c r="A137" s="44">
        <v>8</v>
      </c>
      <c r="B137" s="27">
        <v>18381293</v>
      </c>
      <c r="C137" s="19">
        <f t="shared" si="8"/>
        <v>46.52524441210522</v>
      </c>
      <c r="D137" s="27">
        <v>4981220</v>
      </c>
      <c r="E137" s="27">
        <v>53088103</v>
      </c>
      <c r="F137" s="28">
        <f t="shared" si="7"/>
        <v>58069323</v>
      </c>
      <c r="G137" s="19">
        <f t="shared" si="9"/>
        <v>41.16863221218884</v>
      </c>
      <c r="H137" s="18">
        <f t="shared" si="12"/>
        <v>17681496</v>
      </c>
      <c r="I137" s="19">
        <f t="shared" si="10"/>
        <v>30.282792897064382</v>
      </c>
      <c r="J137" s="28">
        <v>94132112</v>
      </c>
      <c r="K137" s="19">
        <f t="shared" si="11"/>
        <v>39.97101759382684</v>
      </c>
      <c r="L137" s="30"/>
      <c r="M137" s="57"/>
      <c r="N137" s="57"/>
      <c r="O137" s="57"/>
    </row>
    <row r="138" spans="1:15" s="58" customFormat="1" ht="15.75" customHeight="1" hidden="1">
      <c r="A138" s="44">
        <v>9</v>
      </c>
      <c r="B138" s="27">
        <v>19607228</v>
      </c>
      <c r="C138" s="19">
        <f t="shared" si="8"/>
        <v>42.39111458404443</v>
      </c>
      <c r="D138" s="27">
        <v>4841352</v>
      </c>
      <c r="E138" s="27">
        <v>53491958</v>
      </c>
      <c r="F138" s="28">
        <f t="shared" si="7"/>
        <v>58333310</v>
      </c>
      <c r="G138" s="19">
        <f t="shared" si="9"/>
        <v>40.14066316382136</v>
      </c>
      <c r="H138" s="18">
        <f t="shared" si="12"/>
        <v>16672348</v>
      </c>
      <c r="I138" s="19">
        <f t="shared" si="10"/>
        <v>15.864099363066543</v>
      </c>
      <c r="J138" s="28">
        <v>94612886</v>
      </c>
      <c r="K138" s="19">
        <f t="shared" si="11"/>
        <v>35.57888742437777</v>
      </c>
      <c r="L138" s="30"/>
      <c r="M138" s="57"/>
      <c r="N138" s="57"/>
      <c r="O138" s="57"/>
    </row>
    <row r="139" spans="1:15" s="58" customFormat="1" ht="15.75" customHeight="1" hidden="1">
      <c r="A139" s="44">
        <v>10</v>
      </c>
      <c r="B139" s="27">
        <v>19117463</v>
      </c>
      <c r="C139" s="19">
        <f t="shared" si="8"/>
        <v>31.446461874504763</v>
      </c>
      <c r="D139" s="27">
        <v>4723171</v>
      </c>
      <c r="E139" s="27">
        <v>54755006</v>
      </c>
      <c r="F139" s="28">
        <f>E139+D139</f>
        <v>59478177</v>
      </c>
      <c r="G139" s="19">
        <f t="shared" si="9"/>
        <v>40.17284916694052</v>
      </c>
      <c r="H139" s="18">
        <f t="shared" si="12"/>
        <v>19561955</v>
      </c>
      <c r="I139" s="19">
        <f t="shared" si="10"/>
        <v>23.497611671150892</v>
      </c>
      <c r="J139" s="28">
        <v>98157595</v>
      </c>
      <c r="K139" s="19">
        <f t="shared" si="11"/>
        <v>34.80244544439108</v>
      </c>
      <c r="L139" s="30"/>
      <c r="M139" s="57"/>
      <c r="N139" s="57"/>
      <c r="O139" s="57"/>
    </row>
    <row r="140" spans="1:15" s="58" customFormat="1" ht="15.75" customHeight="1" hidden="1">
      <c r="A140" s="44">
        <v>11</v>
      </c>
      <c r="B140" s="27">
        <v>19465562</v>
      </c>
      <c r="C140" s="19">
        <f t="shared" si="8"/>
        <v>39.43615552130103</v>
      </c>
      <c r="D140" s="27">
        <v>4728122</v>
      </c>
      <c r="E140" s="27">
        <v>56425820</v>
      </c>
      <c r="F140" s="28">
        <f>E140+D140</f>
        <v>61153942</v>
      </c>
      <c r="G140" s="19">
        <f t="shared" si="9"/>
        <v>39.649809627218644</v>
      </c>
      <c r="H140" s="18">
        <f t="shared" si="12"/>
        <v>21252186</v>
      </c>
      <c r="I140" s="19">
        <f t="shared" si="10"/>
        <v>31.03883375718749</v>
      </c>
      <c r="J140" s="28">
        <v>101871690</v>
      </c>
      <c r="K140" s="19">
        <f t="shared" si="11"/>
        <v>37.721477526450286</v>
      </c>
      <c r="L140" s="30"/>
      <c r="M140" s="57"/>
      <c r="N140" s="57"/>
      <c r="O140" s="57"/>
    </row>
    <row r="141" spans="1:15" s="3" customFormat="1" ht="15.75" hidden="1">
      <c r="A141" s="33" t="s">
        <v>82</v>
      </c>
      <c r="B141" s="27">
        <v>21841482</v>
      </c>
      <c r="C141" s="19">
        <f t="shared" si="8"/>
        <v>47.92306138783323</v>
      </c>
      <c r="D141" s="27">
        <v>5204493</v>
      </c>
      <c r="E141" s="27">
        <v>56258543</v>
      </c>
      <c r="F141" s="28">
        <f>E141+D141</f>
        <v>61463036</v>
      </c>
      <c r="G141" s="19">
        <f t="shared" si="9"/>
        <v>36.23300091847449</v>
      </c>
      <c r="H141" s="18">
        <f t="shared" si="12"/>
        <v>19935721</v>
      </c>
      <c r="I141" s="19">
        <f t="shared" si="10"/>
        <v>26.21118790219458</v>
      </c>
      <c r="J141" s="28">
        <v>103240239</v>
      </c>
      <c r="K141" s="19">
        <f t="shared" si="11"/>
        <v>36.422080747995096</v>
      </c>
      <c r="L141" s="30"/>
      <c r="M141" s="2"/>
      <c r="N141" s="2"/>
      <c r="O141" s="2"/>
    </row>
    <row r="142" spans="1:15" s="3" customFormat="1" ht="15.75" customHeight="1" hidden="1">
      <c r="A142" s="44" t="s">
        <v>68</v>
      </c>
      <c r="B142" s="27">
        <v>19837510</v>
      </c>
      <c r="C142" s="19">
        <f t="shared" si="8"/>
        <v>34.346462607783565</v>
      </c>
      <c r="D142" s="27">
        <v>4773153</v>
      </c>
      <c r="E142" s="27">
        <v>56522670</v>
      </c>
      <c r="F142" s="28">
        <f>E142+D142</f>
        <v>61295823</v>
      </c>
      <c r="G142" s="19">
        <f t="shared" si="9"/>
        <v>16.949604145357995</v>
      </c>
      <c r="H142" s="18">
        <f t="shared" si="12"/>
        <v>19273428</v>
      </c>
      <c r="I142" s="19">
        <f t="shared" si="10"/>
        <v>29.561808073431195</v>
      </c>
      <c r="J142" s="28">
        <v>100406761</v>
      </c>
      <c r="K142" s="19">
        <f t="shared" si="11"/>
        <v>22.36674920666229</v>
      </c>
      <c r="L142" s="30"/>
      <c r="M142" s="2"/>
      <c r="N142" s="2"/>
      <c r="O142" s="2"/>
    </row>
    <row r="143" spans="1:15" s="3" customFormat="1" ht="15.75" customHeight="1" hidden="1">
      <c r="A143" s="44">
        <v>2</v>
      </c>
      <c r="B143" s="27">
        <v>19993848</v>
      </c>
      <c r="C143" s="19">
        <f t="shared" si="8"/>
        <v>33.79707392127045</v>
      </c>
      <c r="D143" s="27">
        <v>5641144</v>
      </c>
      <c r="E143" s="27">
        <v>57338042</v>
      </c>
      <c r="F143" s="28">
        <v>62979186</v>
      </c>
      <c r="G143" s="19">
        <f t="shared" si="9"/>
        <v>19.48971502416083</v>
      </c>
      <c r="H143" s="18">
        <f t="shared" si="12"/>
        <v>19917064</v>
      </c>
      <c r="I143" s="19">
        <f t="shared" si="10"/>
        <v>10.562004229509043</v>
      </c>
      <c r="J143" s="28">
        <v>102890098</v>
      </c>
      <c r="K143" s="19">
        <f t="shared" si="11"/>
        <v>20.108098352901507</v>
      </c>
      <c r="L143" s="30"/>
      <c r="M143" s="2"/>
      <c r="N143" s="2"/>
      <c r="O143" s="2"/>
    </row>
    <row r="144" spans="1:15" s="3" customFormat="1" ht="15.75" customHeight="1" hidden="1">
      <c r="A144" s="44">
        <v>3</v>
      </c>
      <c r="B144" s="18">
        <v>21504296</v>
      </c>
      <c r="C144" s="19">
        <f t="shared" si="8"/>
        <v>39.33737127960927</v>
      </c>
      <c r="D144" s="27">
        <v>6121741</v>
      </c>
      <c r="E144" s="27">
        <v>58452552</v>
      </c>
      <c r="F144" s="28">
        <f>E144+D144</f>
        <v>64574293</v>
      </c>
      <c r="G144" s="19">
        <f t="shared" si="9"/>
        <v>18.988855813852695</v>
      </c>
      <c r="H144" s="18">
        <f t="shared" si="12"/>
        <v>20864580</v>
      </c>
      <c r="I144" s="19">
        <f t="shared" si="10"/>
        <v>24.920011265479246</v>
      </c>
      <c r="J144" s="28">
        <v>106943169</v>
      </c>
      <c r="K144" s="19">
        <f t="shared" si="11"/>
        <v>23.769934134680753</v>
      </c>
      <c r="L144" s="30"/>
      <c r="M144" s="2"/>
      <c r="N144" s="2"/>
      <c r="O144" s="2"/>
    </row>
    <row r="145" spans="1:15" s="3" customFormat="1" ht="15.75" customHeight="1" hidden="1">
      <c r="A145" s="44">
        <v>4</v>
      </c>
      <c r="B145" s="18">
        <v>22125010</v>
      </c>
      <c r="C145" s="19">
        <f t="shared" si="8"/>
        <v>36.32757644060905</v>
      </c>
      <c r="D145" s="27">
        <v>5906455</v>
      </c>
      <c r="E145" s="27">
        <v>61144870</v>
      </c>
      <c r="F145" s="28">
        <f>E145+D145</f>
        <v>67051325</v>
      </c>
      <c r="G145" s="19">
        <f t="shared" si="9"/>
        <v>21.13154061714117</v>
      </c>
      <c r="H145" s="18">
        <f t="shared" si="12"/>
        <v>22249480</v>
      </c>
      <c r="I145" s="19">
        <f t="shared" si="10"/>
        <v>28.030708753713043</v>
      </c>
      <c r="J145" s="28">
        <v>111425815</v>
      </c>
      <c r="K145" s="19">
        <f t="shared" si="11"/>
        <v>25.2514762592495</v>
      </c>
      <c r="L145" s="30"/>
      <c r="M145" s="2"/>
      <c r="N145" s="2"/>
      <c r="O145" s="2"/>
    </row>
    <row r="146" spans="1:15" s="3" customFormat="1" ht="15.75" customHeight="1" hidden="1">
      <c r="A146" s="44">
        <v>5</v>
      </c>
      <c r="B146" s="18">
        <v>22338252</v>
      </c>
      <c r="C146" s="19">
        <f t="shared" si="8"/>
        <v>39.257115495137384</v>
      </c>
      <c r="D146" s="18">
        <v>5977407</v>
      </c>
      <c r="E146" s="27">
        <v>62980538</v>
      </c>
      <c r="F146" s="28">
        <f>E146+D146</f>
        <v>68957945</v>
      </c>
      <c r="G146" s="19">
        <f t="shared" si="9"/>
        <v>21.962590433153963</v>
      </c>
      <c r="H146" s="18">
        <f t="shared" si="12"/>
        <v>24345196</v>
      </c>
      <c r="I146" s="19">
        <f t="shared" si="10"/>
        <v>55.815546855044204</v>
      </c>
      <c r="J146" s="21">
        <v>115641393</v>
      </c>
      <c r="K146" s="19">
        <f t="shared" si="11"/>
        <v>31.104329230703826</v>
      </c>
      <c r="L146" s="30"/>
      <c r="M146" s="2"/>
      <c r="N146" s="2"/>
      <c r="O146" s="2"/>
    </row>
    <row r="147" spans="1:15" s="3" customFormat="1" ht="15.75" customHeight="1" hidden="1">
      <c r="A147" s="44">
        <v>6</v>
      </c>
      <c r="B147" s="18">
        <v>23674064</v>
      </c>
      <c r="C147" s="19">
        <f t="shared" si="8"/>
        <v>34.25142443982904</v>
      </c>
      <c r="D147" s="18">
        <v>6299614</v>
      </c>
      <c r="E147" s="27">
        <v>64245190</v>
      </c>
      <c r="F147" s="28">
        <f>E147+D147</f>
        <v>70544804</v>
      </c>
      <c r="G147" s="19">
        <f t="shared" si="9"/>
        <v>24.088747280290576</v>
      </c>
      <c r="H147" s="18">
        <f t="shared" si="12"/>
        <v>22563584</v>
      </c>
      <c r="I147" s="19">
        <f t="shared" si="10"/>
        <v>46.6254820213141</v>
      </c>
      <c r="J147" s="21">
        <v>116782452</v>
      </c>
      <c r="K147" s="19">
        <f t="shared" si="11"/>
        <v>29.941655107483854</v>
      </c>
      <c r="L147" s="30"/>
      <c r="M147" s="2"/>
      <c r="N147" s="2"/>
      <c r="O147" s="2"/>
    </row>
    <row r="148" spans="1:15" s="3" customFormat="1" ht="15.75" customHeight="1" hidden="1">
      <c r="A148" s="44">
        <v>7</v>
      </c>
      <c r="B148" s="18">
        <v>25127283</v>
      </c>
      <c r="C148" s="19">
        <f t="shared" si="8"/>
        <v>41.23211222450297</v>
      </c>
      <c r="D148" s="18">
        <v>6720257</v>
      </c>
      <c r="E148" s="27">
        <v>66903868</v>
      </c>
      <c r="F148" s="28">
        <f>E148+D148</f>
        <v>73624125</v>
      </c>
      <c r="G148" s="19">
        <f t="shared" si="9"/>
        <v>28.96725282403102</v>
      </c>
      <c r="H148" s="18">
        <f t="shared" si="12"/>
        <v>24257256</v>
      </c>
      <c r="I148" s="19">
        <f t="shared" si="10"/>
        <v>52.14044615811011</v>
      </c>
      <c r="J148" s="21">
        <v>123008664</v>
      </c>
      <c r="K148" s="19">
        <f t="shared" si="11"/>
        <v>35.437900338071046</v>
      </c>
      <c r="L148" s="30"/>
      <c r="M148" s="2"/>
      <c r="N148" s="2"/>
      <c r="O148" s="2"/>
    </row>
    <row r="149" spans="1:15" s="3" customFormat="1" ht="15.75" customHeight="1" hidden="1">
      <c r="A149" s="44">
        <v>8</v>
      </c>
      <c r="B149" s="18">
        <v>25951017</v>
      </c>
      <c r="C149" s="19">
        <f t="shared" si="8"/>
        <v>41.18167312821791</v>
      </c>
      <c r="D149" s="18">
        <v>6932230</v>
      </c>
      <c r="E149" s="27">
        <v>69237898</v>
      </c>
      <c r="F149" s="28">
        <v>76170128</v>
      </c>
      <c r="G149" s="19">
        <f t="shared" si="9"/>
        <v>31.17102811754839</v>
      </c>
      <c r="H149" s="18">
        <f t="shared" si="12"/>
        <v>26054155</v>
      </c>
      <c r="I149" s="19">
        <f t="shared" si="10"/>
        <v>47.35266178834641</v>
      </c>
      <c r="J149" s="21">
        <v>128175300</v>
      </c>
      <c r="K149" s="19">
        <f t="shared" si="11"/>
        <v>36.1653290005859</v>
      </c>
      <c r="L149" s="30"/>
      <c r="M149" s="2"/>
      <c r="N149" s="2"/>
      <c r="O149" s="2"/>
    </row>
    <row r="150" spans="1:15" s="3" customFormat="1" ht="15.75" customHeight="1" hidden="1">
      <c r="A150" s="44">
        <v>9</v>
      </c>
      <c r="B150" s="18">
        <v>26367061</v>
      </c>
      <c r="C150" s="19">
        <f t="shared" si="8"/>
        <v>34.47622988828405</v>
      </c>
      <c r="D150" s="18">
        <v>6856088</v>
      </c>
      <c r="E150" s="27">
        <f>F150-D150</f>
        <v>70354419</v>
      </c>
      <c r="F150" s="28">
        <v>77210507</v>
      </c>
      <c r="G150" s="19">
        <f t="shared" si="9"/>
        <v>32.36092208722599</v>
      </c>
      <c r="H150" s="18">
        <f t="shared" si="12"/>
        <v>26283535</v>
      </c>
      <c r="I150" s="19">
        <f t="shared" si="10"/>
        <v>57.6474711300412</v>
      </c>
      <c r="J150" s="21">
        <v>129861103</v>
      </c>
      <c r="K150" s="19">
        <f t="shared" si="11"/>
        <v>37.25519692951761</v>
      </c>
      <c r="L150" s="30"/>
      <c r="M150" s="2"/>
      <c r="N150" s="2"/>
      <c r="O150" s="2"/>
    </row>
    <row r="151" spans="1:15" s="3" customFormat="1" ht="15.75" customHeight="1" hidden="1">
      <c r="A151" s="44">
        <v>10</v>
      </c>
      <c r="B151" s="18">
        <v>27476561</v>
      </c>
      <c r="C151" s="19">
        <f aca="true" t="shared" si="13" ref="C151:C251">B151/B139*100-100</f>
        <v>43.724933585591344</v>
      </c>
      <c r="D151" s="18">
        <v>7228779</v>
      </c>
      <c r="E151" s="27">
        <v>73119877</v>
      </c>
      <c r="F151" s="28">
        <v>80348656</v>
      </c>
      <c r="G151" s="19">
        <f aca="true" t="shared" si="14" ref="G151:G214">F151/F139*100-100</f>
        <v>35.08930510765319</v>
      </c>
      <c r="H151" s="18">
        <f t="shared" si="12"/>
        <v>24887120</v>
      </c>
      <c r="I151" s="19">
        <f aca="true" t="shared" si="15" ref="I151:I214">H151/H139*100-100</f>
        <v>27.22204912545807</v>
      </c>
      <c r="J151" s="21">
        <v>132712337</v>
      </c>
      <c r="K151" s="19">
        <f aca="true" t="shared" si="16" ref="K151:K251">J151/J139*100-100</f>
        <v>35.203329910436366</v>
      </c>
      <c r="L151" s="30"/>
      <c r="M151" s="2"/>
      <c r="N151" s="2"/>
      <c r="O151" s="2"/>
    </row>
    <row r="152" spans="1:15" s="3" customFormat="1" ht="15.75" customHeight="1" hidden="1">
      <c r="A152" s="44">
        <v>11</v>
      </c>
      <c r="B152" s="18">
        <v>27677118</v>
      </c>
      <c r="C152" s="19">
        <f t="shared" si="13"/>
        <v>42.18504454173993</v>
      </c>
      <c r="D152" s="18">
        <v>7197414</v>
      </c>
      <c r="E152" s="27">
        <v>75389982</v>
      </c>
      <c r="F152" s="28">
        <v>82587396</v>
      </c>
      <c r="G152" s="19">
        <f t="shared" si="14"/>
        <v>35.04836041477097</v>
      </c>
      <c r="H152" s="18">
        <v>26026532</v>
      </c>
      <c r="I152" s="19">
        <f t="shared" si="15"/>
        <v>22.465199579939693</v>
      </c>
      <c r="J152" s="21">
        <v>136291046</v>
      </c>
      <c r="K152" s="19">
        <f t="shared" si="16"/>
        <v>33.78696868580465</v>
      </c>
      <c r="L152" s="30"/>
      <c r="M152" s="2"/>
      <c r="N152" s="2"/>
      <c r="O152" s="2"/>
    </row>
    <row r="153" spans="1:15" s="3" customFormat="1" ht="15.75" hidden="1">
      <c r="A153" s="32" t="s">
        <v>86</v>
      </c>
      <c r="B153" s="18">
        <v>32387882</v>
      </c>
      <c r="C153" s="19">
        <f t="shared" si="13"/>
        <v>48.28610073254188</v>
      </c>
      <c r="D153" s="18">
        <v>8748048</v>
      </c>
      <c r="E153" s="27">
        <v>81511384</v>
      </c>
      <c r="F153" s="28">
        <f>E153+D153</f>
        <v>90259432</v>
      </c>
      <c r="G153" s="19">
        <f t="shared" si="14"/>
        <v>46.85156782688054</v>
      </c>
      <c r="H153" s="18">
        <v>26965569</v>
      </c>
      <c r="I153" s="19">
        <f t="shared" si="15"/>
        <v>35.26257214374138</v>
      </c>
      <c r="J153" s="21">
        <v>149612883</v>
      </c>
      <c r="K153" s="19">
        <f t="shared" si="16"/>
        <v>44.91721876002245</v>
      </c>
      <c r="L153" s="30"/>
      <c r="M153" s="2"/>
      <c r="N153" s="2"/>
      <c r="O153" s="2"/>
    </row>
    <row r="154" spans="1:15" s="3" customFormat="1" ht="15.75" customHeight="1" hidden="1">
      <c r="A154" s="44" t="s">
        <v>77</v>
      </c>
      <c r="B154" s="18">
        <v>28370740</v>
      </c>
      <c r="C154" s="19">
        <f t="shared" si="13"/>
        <v>43.01563048991534</v>
      </c>
      <c r="D154" s="18">
        <v>8339834</v>
      </c>
      <c r="E154" s="27">
        <v>83432641</v>
      </c>
      <c r="F154" s="28">
        <f>E154+D154</f>
        <v>91772475</v>
      </c>
      <c r="G154" s="19">
        <f t="shared" si="14"/>
        <v>49.720601679497804</v>
      </c>
      <c r="H154" s="18">
        <v>27872379</v>
      </c>
      <c r="I154" s="19">
        <f t="shared" si="15"/>
        <v>44.61557642989092</v>
      </c>
      <c r="J154" s="21">
        <v>148015594</v>
      </c>
      <c r="K154" s="19">
        <f t="shared" si="16"/>
        <v>47.41596335330448</v>
      </c>
      <c r="L154" s="30"/>
      <c r="M154" s="2"/>
      <c r="N154" s="2"/>
      <c r="O154" s="2"/>
    </row>
    <row r="155" spans="1:15" s="3" customFormat="1" ht="15.75" customHeight="1" hidden="1">
      <c r="A155" s="44">
        <v>2</v>
      </c>
      <c r="B155" s="18">
        <v>28432478</v>
      </c>
      <c r="C155" s="19">
        <f t="shared" si="13"/>
        <v>42.20613260638973</v>
      </c>
      <c r="D155" s="18">
        <v>8753866</v>
      </c>
      <c r="E155" s="27">
        <v>86851988</v>
      </c>
      <c r="F155" s="28">
        <f>E155+D155</f>
        <v>95605854</v>
      </c>
      <c r="G155" s="19">
        <f t="shared" si="14"/>
        <v>51.805477447739634</v>
      </c>
      <c r="H155" s="18">
        <v>25520494</v>
      </c>
      <c r="I155" s="19">
        <f t="shared" si="15"/>
        <v>28.133815305308048</v>
      </c>
      <c r="J155" s="21">
        <v>149558825</v>
      </c>
      <c r="K155" s="19">
        <f t="shared" si="16"/>
        <v>45.35784094597713</v>
      </c>
      <c r="L155" s="30"/>
      <c r="M155" s="2"/>
      <c r="N155" s="2"/>
      <c r="O155" s="2"/>
    </row>
    <row r="156" spans="1:15" s="3" customFormat="1" ht="15.75" customHeight="1" hidden="1">
      <c r="A156" s="44">
        <v>3</v>
      </c>
      <c r="B156" s="18">
        <v>29802156</v>
      </c>
      <c r="C156" s="19">
        <f t="shared" si="13"/>
        <v>38.586987455901834</v>
      </c>
      <c r="D156" s="18">
        <v>8870874</v>
      </c>
      <c r="E156" s="27">
        <v>89902717</v>
      </c>
      <c r="F156" s="28">
        <f>E156+D156</f>
        <v>98773591</v>
      </c>
      <c r="G156" s="19">
        <f t="shared" si="14"/>
        <v>52.96116521167332</v>
      </c>
      <c r="H156" s="18">
        <v>29652036</v>
      </c>
      <c r="I156" s="19">
        <f t="shared" si="15"/>
        <v>42.11662060774768</v>
      </c>
      <c r="J156" s="21">
        <v>158227782</v>
      </c>
      <c r="K156" s="19">
        <f t="shared" si="16"/>
        <v>47.95501524739743</v>
      </c>
      <c r="L156" s="30"/>
      <c r="M156" s="2"/>
      <c r="N156" s="2"/>
      <c r="O156" s="2"/>
    </row>
    <row r="157" spans="1:15" s="3" customFormat="1" ht="15.75" customHeight="1" hidden="1">
      <c r="A157" s="44">
        <v>4</v>
      </c>
      <c r="B157" s="18">
        <v>30161276</v>
      </c>
      <c r="C157" s="19">
        <f t="shared" si="13"/>
        <v>36.322089797925514</v>
      </c>
      <c r="D157" s="18">
        <v>9646129</v>
      </c>
      <c r="E157" s="27">
        <v>92236165</v>
      </c>
      <c r="F157" s="28">
        <f>E157+D157</f>
        <v>101882294</v>
      </c>
      <c r="G157" s="19">
        <f t="shared" si="14"/>
        <v>51.946727376379215</v>
      </c>
      <c r="H157" s="18">
        <v>28061009</v>
      </c>
      <c r="I157" s="19">
        <f t="shared" si="15"/>
        <v>26.119841901923095</v>
      </c>
      <c r="J157" s="21">
        <v>160104579</v>
      </c>
      <c r="K157" s="19">
        <f t="shared" si="16"/>
        <v>43.687150953304666</v>
      </c>
      <c r="L157" s="30"/>
      <c r="M157" s="2"/>
      <c r="N157" s="2"/>
      <c r="O157" s="2"/>
    </row>
    <row r="158" spans="1:15" s="3" customFormat="1" ht="15.75" customHeight="1" hidden="1">
      <c r="A158" s="44">
        <v>5</v>
      </c>
      <c r="B158" s="18">
        <v>32951568</v>
      </c>
      <c r="C158" s="19">
        <f t="shared" si="13"/>
        <v>47.511846495419604</v>
      </c>
      <c r="D158" s="18">
        <v>10296759</v>
      </c>
      <c r="E158" s="27">
        <v>96194036</v>
      </c>
      <c r="F158" s="28">
        <v>101977365</v>
      </c>
      <c r="G158" s="19">
        <f t="shared" si="14"/>
        <v>47.8834164794209</v>
      </c>
      <c r="H158" s="18">
        <v>30616170</v>
      </c>
      <c r="I158" s="19">
        <f t="shared" si="15"/>
        <v>25.758568548801165</v>
      </c>
      <c r="J158" s="21">
        <v>170058533</v>
      </c>
      <c r="K158" s="19">
        <f t="shared" si="16"/>
        <v>47.05680084638897</v>
      </c>
      <c r="L158" s="30"/>
      <c r="M158" s="2"/>
      <c r="N158" s="2"/>
      <c r="O158" s="2"/>
    </row>
    <row r="159" spans="1:15" s="3" customFormat="1" ht="15.75" customHeight="1" hidden="1">
      <c r="A159" s="44">
        <v>6</v>
      </c>
      <c r="B159" s="18">
        <v>30803335</v>
      </c>
      <c r="C159" s="19">
        <f t="shared" si="13"/>
        <v>30.114267664394248</v>
      </c>
      <c r="D159" s="18">
        <v>9750752</v>
      </c>
      <c r="E159" s="27">
        <v>98501519</v>
      </c>
      <c r="F159" s="28">
        <f aca="true" t="shared" si="17" ref="F159:F171">E159+D159</f>
        <v>108252271</v>
      </c>
      <c r="G159" s="19">
        <f t="shared" si="14"/>
        <v>53.4517992281898</v>
      </c>
      <c r="H159" s="18">
        <v>33020485</v>
      </c>
      <c r="I159" s="19">
        <f t="shared" si="15"/>
        <v>46.344149050080006</v>
      </c>
      <c r="J159" s="21">
        <v>172076091</v>
      </c>
      <c r="K159" s="19">
        <f t="shared" si="16"/>
        <v>47.347557833432035</v>
      </c>
      <c r="L159" s="30"/>
      <c r="M159" s="2"/>
      <c r="N159" s="2"/>
      <c r="O159" s="2"/>
    </row>
    <row r="160" spans="1:15" s="3" customFormat="1" ht="15.75" customHeight="1" hidden="1">
      <c r="A160" s="44">
        <v>7</v>
      </c>
      <c r="B160" s="18">
        <v>30245046</v>
      </c>
      <c r="C160" s="19">
        <f t="shared" si="13"/>
        <v>20.367355276732454</v>
      </c>
      <c r="D160" s="18">
        <v>9683373</v>
      </c>
      <c r="E160" s="27">
        <v>98142398</v>
      </c>
      <c r="F160" s="28">
        <f t="shared" si="17"/>
        <v>107825771</v>
      </c>
      <c r="G160" s="19">
        <f t="shared" si="14"/>
        <v>46.454400646527205</v>
      </c>
      <c r="H160" s="18">
        <v>27781042</v>
      </c>
      <c r="I160" s="19">
        <f t="shared" si="15"/>
        <v>14.526729651531895</v>
      </c>
      <c r="J160" s="21">
        <v>165851859</v>
      </c>
      <c r="K160" s="19">
        <f t="shared" si="16"/>
        <v>34.829412503821686</v>
      </c>
      <c r="L160" s="30"/>
      <c r="M160" s="2"/>
      <c r="N160" s="2"/>
      <c r="O160" s="2"/>
    </row>
    <row r="161" spans="1:15" s="3" customFormat="1" ht="15.75" customHeight="1" hidden="1">
      <c r="A161" s="44">
        <v>8</v>
      </c>
      <c r="B161" s="18">
        <v>31479553</v>
      </c>
      <c r="C161" s="19">
        <f t="shared" si="13"/>
        <v>21.30373541815335</v>
      </c>
      <c r="D161" s="18">
        <v>9986311</v>
      </c>
      <c r="E161" s="27">
        <v>98251821</v>
      </c>
      <c r="F161" s="28">
        <f t="shared" si="17"/>
        <v>108238132</v>
      </c>
      <c r="G161" s="19">
        <f t="shared" si="14"/>
        <v>42.10049903027601</v>
      </c>
      <c r="H161" s="18">
        <v>27500651</v>
      </c>
      <c r="I161" s="19">
        <f t="shared" si="15"/>
        <v>5.551882223775834</v>
      </c>
      <c r="J161" s="21">
        <v>167218335</v>
      </c>
      <c r="K161" s="19">
        <f>J161/J149*100-100</f>
        <v>30.4606542758238</v>
      </c>
      <c r="L161" s="30"/>
      <c r="M161" s="2"/>
      <c r="N161" s="2"/>
      <c r="O161" s="2"/>
    </row>
    <row r="162" spans="1:15" s="3" customFormat="1" ht="15.75" customHeight="1" hidden="1">
      <c r="A162" s="44">
        <v>9</v>
      </c>
      <c r="B162" s="18">
        <v>31206143</v>
      </c>
      <c r="C162" s="19">
        <f t="shared" si="13"/>
        <v>18.35275459786739</v>
      </c>
      <c r="D162" s="18">
        <v>9937873</v>
      </c>
      <c r="E162" s="27">
        <v>100634131</v>
      </c>
      <c r="F162" s="28">
        <f t="shared" si="17"/>
        <v>110572004</v>
      </c>
      <c r="G162" s="19">
        <f t="shared" si="14"/>
        <v>43.20849363157271</v>
      </c>
      <c r="H162" s="18">
        <v>28765590</v>
      </c>
      <c r="I162" s="19">
        <f t="shared" si="15"/>
        <v>9.4433834718199</v>
      </c>
      <c r="J162" s="21">
        <v>170543737</v>
      </c>
      <c r="K162" s="19">
        <f t="shared" si="16"/>
        <v>31.327805678656517</v>
      </c>
      <c r="L162" s="30"/>
      <c r="M162" s="2"/>
      <c r="N162" s="2"/>
      <c r="O162" s="2"/>
    </row>
    <row r="163" spans="1:15" s="3" customFormat="1" ht="15.75" customHeight="1" hidden="1">
      <c r="A163" s="44">
        <v>10</v>
      </c>
      <c r="B163" s="27">
        <v>30428011</v>
      </c>
      <c r="C163" s="19">
        <f t="shared" si="13"/>
        <v>10.741700899177303</v>
      </c>
      <c r="D163" s="21">
        <v>9369485</v>
      </c>
      <c r="E163" s="27">
        <v>101618277</v>
      </c>
      <c r="F163" s="28">
        <f t="shared" si="17"/>
        <v>110987762</v>
      </c>
      <c r="G163" s="19">
        <f t="shared" si="14"/>
        <v>38.132692599114534</v>
      </c>
      <c r="H163" s="27">
        <v>30133988</v>
      </c>
      <c r="I163" s="19">
        <f t="shared" si="15"/>
        <v>21.082664446508886</v>
      </c>
      <c r="J163" s="21">
        <v>171549761</v>
      </c>
      <c r="K163" s="19">
        <f t="shared" si="16"/>
        <v>29.264365979780763</v>
      </c>
      <c r="L163" s="30"/>
      <c r="M163" s="2"/>
      <c r="N163" s="2"/>
      <c r="O163" s="2"/>
    </row>
    <row r="164" spans="1:15" s="3" customFormat="1" ht="15.75" customHeight="1" hidden="1">
      <c r="A164" s="44">
        <v>11</v>
      </c>
      <c r="B164" s="18">
        <v>31994191</v>
      </c>
      <c r="C164" s="19">
        <f t="shared" si="13"/>
        <v>15.597986033083359</v>
      </c>
      <c r="D164" s="21">
        <v>9336599</v>
      </c>
      <c r="E164" s="27">
        <v>103538819</v>
      </c>
      <c r="F164" s="28">
        <f t="shared" si="17"/>
        <v>112875418</v>
      </c>
      <c r="G164" s="19">
        <f t="shared" si="14"/>
        <v>36.67390360630816</v>
      </c>
      <c r="H164" s="18">
        <v>27844013</v>
      </c>
      <c r="I164" s="19">
        <f t="shared" si="15"/>
        <v>6.983185466277249</v>
      </c>
      <c r="J164" s="21">
        <v>172713622</v>
      </c>
      <c r="K164" s="19">
        <f t="shared" si="16"/>
        <v>26.724115097040197</v>
      </c>
      <c r="L164" s="30"/>
      <c r="M164" s="2"/>
      <c r="N164" s="2"/>
      <c r="O164" s="2"/>
    </row>
    <row r="165" spans="1:15" s="3" customFormat="1" ht="15.75" hidden="1">
      <c r="A165" s="32" t="s">
        <v>88</v>
      </c>
      <c r="B165" s="18">
        <v>32620720</v>
      </c>
      <c r="C165" s="19">
        <f t="shared" si="13"/>
        <v>0.718904681695463</v>
      </c>
      <c r="D165" s="21">
        <v>9629031</v>
      </c>
      <c r="E165" s="27">
        <v>103741251</v>
      </c>
      <c r="F165" s="28">
        <f t="shared" si="17"/>
        <v>113370282</v>
      </c>
      <c r="G165" s="19">
        <f t="shared" si="14"/>
        <v>25.604914065933855</v>
      </c>
      <c r="H165" s="27">
        <v>29656330</v>
      </c>
      <c r="I165" s="19">
        <f t="shared" si="15"/>
        <v>9.978506294452757</v>
      </c>
      <c r="J165" s="21">
        <v>175647331</v>
      </c>
      <c r="K165" s="19">
        <f t="shared" si="16"/>
        <v>17.401207354583235</v>
      </c>
      <c r="L165" s="30"/>
      <c r="M165" s="2"/>
      <c r="N165" s="2"/>
      <c r="O165" s="2"/>
    </row>
    <row r="166" spans="1:15" s="3" customFormat="1" ht="15.75" customHeight="1" hidden="1">
      <c r="A166" s="44" t="s">
        <v>78</v>
      </c>
      <c r="B166" s="27">
        <v>32969447</v>
      </c>
      <c r="C166" s="19">
        <f t="shared" si="13"/>
        <v>16.20933045807054</v>
      </c>
      <c r="D166" s="21">
        <v>9120331</v>
      </c>
      <c r="E166" s="27">
        <v>107081026</v>
      </c>
      <c r="F166" s="28">
        <f t="shared" si="17"/>
        <v>116201357</v>
      </c>
      <c r="G166" s="19">
        <f t="shared" si="14"/>
        <v>26.61896391047533</v>
      </c>
      <c r="H166" s="27">
        <v>32108230</v>
      </c>
      <c r="I166" s="19">
        <f t="shared" si="15"/>
        <v>15.197306982658347</v>
      </c>
      <c r="J166" s="21">
        <v>181279034</v>
      </c>
      <c r="K166" s="19">
        <f t="shared" si="16"/>
        <v>22.472929440123707</v>
      </c>
      <c r="L166" s="30"/>
      <c r="M166" s="2"/>
      <c r="N166" s="2"/>
      <c r="O166" s="2"/>
    </row>
    <row r="167" spans="1:15" s="3" customFormat="1" ht="15.75" customHeight="1" hidden="1">
      <c r="A167" s="44">
        <v>2</v>
      </c>
      <c r="B167" s="27">
        <v>31456336</v>
      </c>
      <c r="C167" s="19">
        <f t="shared" si="13"/>
        <v>10.635224970542495</v>
      </c>
      <c r="D167" s="56">
        <v>8854670</v>
      </c>
      <c r="E167" s="27">
        <v>107707809</v>
      </c>
      <c r="F167" s="28">
        <f t="shared" si="17"/>
        <v>116562479</v>
      </c>
      <c r="G167" s="19">
        <f t="shared" si="14"/>
        <v>21.91981361308693</v>
      </c>
      <c r="H167" s="27">
        <v>28319267</v>
      </c>
      <c r="I167" s="19">
        <f t="shared" si="15"/>
        <v>10.966766552402945</v>
      </c>
      <c r="J167" s="21">
        <v>176338083</v>
      </c>
      <c r="K167" s="19">
        <f t="shared" si="16"/>
        <v>17.905501731509332</v>
      </c>
      <c r="L167" s="30"/>
      <c r="M167" s="2"/>
      <c r="N167" s="2"/>
      <c r="O167" s="2"/>
    </row>
    <row r="168" spans="1:15" s="3" customFormat="1" ht="15.75" customHeight="1" hidden="1">
      <c r="A168" s="44">
        <v>3</v>
      </c>
      <c r="B168" s="27">
        <v>33098787</v>
      </c>
      <c r="C168" s="19">
        <f t="shared" si="13"/>
        <v>11.061719829934447</v>
      </c>
      <c r="D168" s="56">
        <v>9487049</v>
      </c>
      <c r="E168" s="27">
        <v>110781483</v>
      </c>
      <c r="F168" s="28">
        <f t="shared" si="17"/>
        <v>120268532</v>
      </c>
      <c r="G168" s="19">
        <f t="shared" si="14"/>
        <v>21.761830042202263</v>
      </c>
      <c r="H168" s="27">
        <v>29810650</v>
      </c>
      <c r="I168" s="19">
        <f t="shared" si="15"/>
        <v>0.5349177371833775</v>
      </c>
      <c r="J168" s="21">
        <v>183177969</v>
      </c>
      <c r="K168" s="19">
        <f t="shared" si="16"/>
        <v>15.768524771458914</v>
      </c>
      <c r="L168" s="30"/>
      <c r="M168" s="2"/>
      <c r="N168" s="2"/>
      <c r="O168" s="2"/>
    </row>
    <row r="169" spans="1:15" s="3" customFormat="1" ht="15.75" customHeight="1" hidden="1">
      <c r="A169" s="44">
        <v>4</v>
      </c>
      <c r="B169" s="27">
        <v>33128079</v>
      </c>
      <c r="C169" s="19">
        <f t="shared" si="13"/>
        <v>9.836463815390289</v>
      </c>
      <c r="D169" s="56">
        <v>9695554</v>
      </c>
      <c r="E169" s="27">
        <v>111353225</v>
      </c>
      <c r="F169" s="28">
        <f t="shared" si="17"/>
        <v>121048779</v>
      </c>
      <c r="G169" s="19">
        <f t="shared" si="14"/>
        <v>18.812380687070117</v>
      </c>
      <c r="H169" s="27">
        <v>31916931</v>
      </c>
      <c r="I169" s="19">
        <f t="shared" si="15"/>
        <v>13.741209377039866</v>
      </c>
      <c r="J169" s="21">
        <v>186093788</v>
      </c>
      <c r="K169" s="19">
        <f t="shared" si="16"/>
        <v>16.23264566343228</v>
      </c>
      <c r="L169" s="30"/>
      <c r="M169" s="2"/>
      <c r="N169" s="2"/>
      <c r="O169" s="2"/>
    </row>
    <row r="170" spans="1:15" s="3" customFormat="1" ht="15.75" customHeight="1" hidden="1">
      <c r="A170" s="44">
        <v>5</v>
      </c>
      <c r="B170" s="27">
        <v>34355439</v>
      </c>
      <c r="C170" s="19">
        <f t="shared" si="13"/>
        <v>4.260407274093907</v>
      </c>
      <c r="D170" s="56">
        <v>10129472</v>
      </c>
      <c r="E170" s="27">
        <v>114215835</v>
      </c>
      <c r="F170" s="28">
        <f t="shared" si="17"/>
        <v>124345307</v>
      </c>
      <c r="G170" s="19">
        <f t="shared" si="14"/>
        <v>21.934222363953012</v>
      </c>
      <c r="H170" s="27">
        <v>32051223</v>
      </c>
      <c r="I170" s="19">
        <f t="shared" si="15"/>
        <v>4.687238802240785</v>
      </c>
      <c r="J170" s="21">
        <v>190751969</v>
      </c>
      <c r="K170" s="19">
        <f t="shared" si="16"/>
        <v>12.168419681710404</v>
      </c>
      <c r="L170" s="30"/>
      <c r="M170" s="2"/>
      <c r="N170" s="2"/>
      <c r="O170" s="2"/>
    </row>
    <row r="171" spans="1:15" s="3" customFormat="1" ht="15.75" customHeight="1" hidden="1">
      <c r="A171" s="44">
        <v>6</v>
      </c>
      <c r="B171" s="27">
        <v>35313717</v>
      </c>
      <c r="C171" s="19">
        <f t="shared" si="13"/>
        <v>14.642511922816155</v>
      </c>
      <c r="D171" s="56">
        <v>10606645</v>
      </c>
      <c r="E171" s="27">
        <v>117312652</v>
      </c>
      <c r="F171" s="28">
        <f t="shared" si="17"/>
        <v>127919297</v>
      </c>
      <c r="G171" s="19">
        <f t="shared" si="14"/>
        <v>18.16777220313466</v>
      </c>
      <c r="H171" s="27">
        <v>32726519</v>
      </c>
      <c r="I171" s="19">
        <f t="shared" si="15"/>
        <v>-0.890253429045643</v>
      </c>
      <c r="J171" s="21">
        <v>195959533</v>
      </c>
      <c r="K171" s="19">
        <f t="shared" si="16"/>
        <v>13.879581911237167</v>
      </c>
      <c r="L171" s="30"/>
      <c r="M171" s="2"/>
      <c r="N171" s="2"/>
      <c r="O171" s="2"/>
    </row>
    <row r="172" spans="1:15" s="3" customFormat="1" ht="15.75" customHeight="1" hidden="1">
      <c r="A172" s="44">
        <v>7</v>
      </c>
      <c r="B172" s="27">
        <v>37876760.4</v>
      </c>
      <c r="C172" s="19">
        <f t="shared" si="13"/>
        <v>25.23294029706551</v>
      </c>
      <c r="D172" s="56">
        <v>10618259.3</v>
      </c>
      <c r="E172" s="27">
        <v>118747169</v>
      </c>
      <c r="F172" s="28">
        <v>124701436</v>
      </c>
      <c r="G172" s="19">
        <f t="shared" si="14"/>
        <v>15.650864207592832</v>
      </c>
      <c r="H172" s="27">
        <v>30148497.3</v>
      </c>
      <c r="I172" s="19">
        <f t="shared" si="15"/>
        <v>8.521837661812697</v>
      </c>
      <c r="J172" s="21">
        <v>197390686</v>
      </c>
      <c r="K172" s="19">
        <f t="shared" si="16"/>
        <v>19.016263785140936</v>
      </c>
      <c r="L172" s="30"/>
      <c r="M172" s="2"/>
      <c r="N172" s="2"/>
      <c r="O172" s="2"/>
    </row>
    <row r="173" spans="1:15" s="3" customFormat="1" ht="15.75" customHeight="1" hidden="1">
      <c r="A173" s="44">
        <v>8</v>
      </c>
      <c r="B173" s="27">
        <v>37852949</v>
      </c>
      <c r="C173" s="19">
        <f t="shared" si="13"/>
        <v>20.246145172391735</v>
      </c>
      <c r="D173" s="56">
        <v>10395198</v>
      </c>
      <c r="E173" s="27">
        <v>122666651</v>
      </c>
      <c r="F173" s="28">
        <v>127936106</v>
      </c>
      <c r="G173" s="19">
        <f t="shared" si="14"/>
        <v>18.19873794569922</v>
      </c>
      <c r="H173" s="27">
        <v>32500100</v>
      </c>
      <c r="I173" s="19">
        <f t="shared" si="15"/>
        <v>18.179384189850637</v>
      </c>
      <c r="J173" s="21">
        <v>203414898</v>
      </c>
      <c r="K173" s="19">
        <f t="shared" si="16"/>
        <v>21.646288369035616</v>
      </c>
      <c r="L173" s="30"/>
      <c r="M173" s="2"/>
      <c r="N173" s="2"/>
      <c r="O173" s="2"/>
    </row>
    <row r="174" spans="1:15" s="3" customFormat="1" ht="15.75" customHeight="1" hidden="1">
      <c r="A174" s="44">
        <v>9</v>
      </c>
      <c r="B174" s="27">
        <v>35404892</v>
      </c>
      <c r="C174" s="19">
        <f t="shared" si="13"/>
        <v>13.454879701089624</v>
      </c>
      <c r="D174" s="56">
        <v>10901110</v>
      </c>
      <c r="E174" s="27">
        <v>123469866</v>
      </c>
      <c r="F174" s="28">
        <f>E174+D174</f>
        <v>134370976</v>
      </c>
      <c r="G174" s="19">
        <f t="shared" si="14"/>
        <v>21.523506076637617</v>
      </c>
      <c r="H174" s="27">
        <v>34334756</v>
      </c>
      <c r="I174" s="19">
        <f t="shared" si="15"/>
        <v>19.360513724905346</v>
      </c>
      <c r="J174" s="28">
        <v>204110624</v>
      </c>
      <c r="K174" s="19">
        <f t="shared" si="16"/>
        <v>19.682274817280444</v>
      </c>
      <c r="L174" s="30"/>
      <c r="M174" s="2"/>
      <c r="N174" s="2"/>
      <c r="O174" s="2"/>
    </row>
    <row r="175" spans="1:15" s="3" customFormat="1" ht="15.75" customHeight="1" hidden="1">
      <c r="A175" s="44">
        <v>10</v>
      </c>
      <c r="B175" s="27">
        <v>35690305</v>
      </c>
      <c r="C175" s="19">
        <f t="shared" si="13"/>
        <v>17.29424246625912</v>
      </c>
      <c r="D175" s="56">
        <v>11162642</v>
      </c>
      <c r="E175" s="27">
        <v>125141128</v>
      </c>
      <c r="F175" s="28">
        <f>E175+D175</f>
        <v>136303770</v>
      </c>
      <c r="G175" s="19">
        <f t="shared" si="14"/>
        <v>22.809729238436233</v>
      </c>
      <c r="H175" s="27">
        <v>36404269</v>
      </c>
      <c r="I175" s="19">
        <f t="shared" si="15"/>
        <v>20.808002578351065</v>
      </c>
      <c r="J175" s="28">
        <v>208398345</v>
      </c>
      <c r="K175" s="19">
        <f t="shared" si="16"/>
        <v>21.4798224055818</v>
      </c>
      <c r="L175" s="30"/>
      <c r="M175" s="2"/>
      <c r="N175" s="2"/>
      <c r="O175" s="2"/>
    </row>
    <row r="176" spans="1:15" s="3" customFormat="1" ht="15.75" customHeight="1" hidden="1">
      <c r="A176" s="44">
        <v>11</v>
      </c>
      <c r="B176" s="27">
        <v>35532119</v>
      </c>
      <c r="C176" s="19">
        <f t="shared" si="13"/>
        <v>11.058032378440203</v>
      </c>
      <c r="D176" s="56">
        <v>10732634</v>
      </c>
      <c r="E176" s="27">
        <v>127572331</v>
      </c>
      <c r="F176" s="28">
        <v>132662675</v>
      </c>
      <c r="G176" s="19">
        <f t="shared" si="14"/>
        <v>17.530173841748265</v>
      </c>
      <c r="H176" s="27">
        <v>35962894</v>
      </c>
      <c r="I176" s="19">
        <f t="shared" si="15"/>
        <v>29.15844422282089</v>
      </c>
      <c r="J176" s="28">
        <v>209799979</v>
      </c>
      <c r="K176" s="19">
        <f t="shared" si="16"/>
        <v>21.472745791875056</v>
      </c>
      <c r="L176" s="30"/>
      <c r="M176" s="2"/>
      <c r="N176" s="2"/>
      <c r="O176" s="2"/>
    </row>
    <row r="177" spans="1:15" s="3" customFormat="1" ht="15.75" hidden="1">
      <c r="A177" s="32" t="s">
        <v>89</v>
      </c>
      <c r="B177" s="27">
        <v>41858263</v>
      </c>
      <c r="C177" s="19">
        <f t="shared" si="13"/>
        <v>28.318023023403526</v>
      </c>
      <c r="D177" s="56">
        <v>11566746</v>
      </c>
      <c r="E177" s="27">
        <v>130726915</v>
      </c>
      <c r="F177" s="28">
        <f aca="true" t="shared" si="18" ref="F177:F183">E177+D177</f>
        <v>142293661</v>
      </c>
      <c r="G177" s="19">
        <f t="shared" si="14"/>
        <v>25.51231106578706</v>
      </c>
      <c r="H177" s="27">
        <v>33419573</v>
      </c>
      <c r="I177" s="19">
        <f t="shared" si="15"/>
        <v>12.689510131563807</v>
      </c>
      <c r="J177" s="28">
        <v>217571498</v>
      </c>
      <c r="K177" s="19">
        <f t="shared" si="16"/>
        <v>23.868376912598805</v>
      </c>
      <c r="L177" s="30"/>
      <c r="M177" s="2"/>
      <c r="N177" s="2"/>
      <c r="O177" s="2"/>
    </row>
    <row r="178" spans="1:15" s="3" customFormat="1" ht="15.75" hidden="1">
      <c r="A178" s="44" t="s">
        <v>80</v>
      </c>
      <c r="B178" s="27">
        <v>40818012</v>
      </c>
      <c r="C178" s="19">
        <f t="shared" si="13"/>
        <v>23.805570654551772</v>
      </c>
      <c r="D178" s="56">
        <v>11469984</v>
      </c>
      <c r="E178" s="27">
        <v>134291710</v>
      </c>
      <c r="F178" s="28">
        <f t="shared" si="18"/>
        <v>145761694</v>
      </c>
      <c r="G178" s="19">
        <f t="shared" si="14"/>
        <v>25.438891389194353</v>
      </c>
      <c r="H178" s="27">
        <v>33451430</v>
      </c>
      <c r="I178" s="19">
        <f t="shared" si="15"/>
        <v>4.1833511221266235</v>
      </c>
      <c r="J178" s="28">
        <v>220031137</v>
      </c>
      <c r="K178" s="19">
        <f t="shared" si="16"/>
        <v>21.377046283245306</v>
      </c>
      <c r="L178" s="30"/>
      <c r="M178" s="2"/>
      <c r="N178" s="2"/>
      <c r="O178" s="2"/>
    </row>
    <row r="179" spans="1:15" s="3" customFormat="1" ht="15.75" hidden="1">
      <c r="A179" s="44">
        <v>2</v>
      </c>
      <c r="B179" s="27">
        <v>40644825</v>
      </c>
      <c r="C179" s="19">
        <f t="shared" si="13"/>
        <v>29.21029645665024</v>
      </c>
      <c r="D179" s="56">
        <v>11542915</v>
      </c>
      <c r="E179" s="27">
        <v>136970001</v>
      </c>
      <c r="F179" s="28">
        <f t="shared" si="18"/>
        <v>148512916</v>
      </c>
      <c r="G179" s="19">
        <f t="shared" si="14"/>
        <v>27.4105675120379</v>
      </c>
      <c r="H179" s="27">
        <v>35179951</v>
      </c>
      <c r="I179" s="19">
        <f t="shared" si="15"/>
        <v>24.226206137326926</v>
      </c>
      <c r="J179" s="28">
        <v>224337692</v>
      </c>
      <c r="K179" s="19">
        <f t="shared" si="16"/>
        <v>27.22021708719609</v>
      </c>
      <c r="L179" s="30"/>
      <c r="M179" s="2"/>
      <c r="N179" s="2"/>
      <c r="O179" s="2"/>
    </row>
    <row r="180" spans="1:15" s="3" customFormat="1" ht="15.75" hidden="1">
      <c r="A180" s="44">
        <v>3</v>
      </c>
      <c r="B180" s="27">
        <v>44294271</v>
      </c>
      <c r="C180" s="19">
        <f t="shared" si="13"/>
        <v>33.82445405023452</v>
      </c>
      <c r="D180" s="56">
        <v>13213707</v>
      </c>
      <c r="E180" s="27">
        <v>141354033</v>
      </c>
      <c r="F180" s="28">
        <f t="shared" si="18"/>
        <v>154567740</v>
      </c>
      <c r="G180" s="19">
        <f t="shared" si="14"/>
        <v>28.518854790711174</v>
      </c>
      <c r="H180" s="27">
        <v>34096154</v>
      </c>
      <c r="I180" s="19">
        <f t="shared" si="15"/>
        <v>14.37574826446253</v>
      </c>
      <c r="J180" s="28">
        <v>232958165</v>
      </c>
      <c r="K180" s="19">
        <f t="shared" si="16"/>
        <v>27.175864145540345</v>
      </c>
      <c r="L180" s="30"/>
      <c r="M180" s="2"/>
      <c r="N180" s="2"/>
      <c r="O180" s="2"/>
    </row>
    <row r="181" spans="1:15" s="3" customFormat="1" ht="15.75" hidden="1">
      <c r="A181" s="44">
        <v>4</v>
      </c>
      <c r="B181" s="27">
        <v>45476205</v>
      </c>
      <c r="C181" s="19">
        <f t="shared" si="13"/>
        <v>37.27389686555625</v>
      </c>
      <c r="D181" s="56">
        <v>13257668</v>
      </c>
      <c r="E181" s="27">
        <v>143854299</v>
      </c>
      <c r="F181" s="28">
        <f t="shared" si="18"/>
        <v>157111967</v>
      </c>
      <c r="G181" s="19">
        <f t="shared" si="14"/>
        <v>29.79227737604856</v>
      </c>
      <c r="H181" s="27">
        <v>34241589</v>
      </c>
      <c r="I181" s="19">
        <f t="shared" si="15"/>
        <v>7.283463438261023</v>
      </c>
      <c r="J181" s="28">
        <v>236829761</v>
      </c>
      <c r="K181" s="19">
        <f t="shared" si="16"/>
        <v>27.263657505859356</v>
      </c>
      <c r="L181" s="30"/>
      <c r="M181" s="2"/>
      <c r="N181" s="2"/>
      <c r="O181" s="2"/>
    </row>
    <row r="182" spans="1:15" s="3" customFormat="1" ht="15.75" hidden="1">
      <c r="A182" s="44">
        <v>5</v>
      </c>
      <c r="B182" s="27">
        <v>40825212.6</v>
      </c>
      <c r="C182" s="19">
        <f t="shared" si="13"/>
        <v>18.8318757911957</v>
      </c>
      <c r="D182" s="56">
        <v>12142549.8</v>
      </c>
      <c r="E182" s="27">
        <v>143597935.4</v>
      </c>
      <c r="F182" s="28">
        <f t="shared" si="18"/>
        <v>155740485.20000002</v>
      </c>
      <c r="G182" s="19">
        <f t="shared" si="14"/>
        <v>25.248382072031077</v>
      </c>
      <c r="H182" s="27">
        <v>36589855</v>
      </c>
      <c r="I182" s="19">
        <f t="shared" si="15"/>
        <v>14.160557929411937</v>
      </c>
      <c r="J182" s="28">
        <v>233155552.8</v>
      </c>
      <c r="K182" s="19">
        <f t="shared" si="16"/>
        <v>22.229696512333263</v>
      </c>
      <c r="L182" s="30"/>
      <c r="M182" s="2"/>
      <c r="N182" s="2"/>
      <c r="O182" s="2"/>
    </row>
    <row r="183" spans="1:15" s="3" customFormat="1" ht="15.75" hidden="1">
      <c r="A183" s="44">
        <v>6</v>
      </c>
      <c r="B183" s="27">
        <v>44356087</v>
      </c>
      <c r="C183" s="19">
        <f t="shared" si="13"/>
        <v>25.60582903238422</v>
      </c>
      <c r="D183" s="56">
        <v>12708509</v>
      </c>
      <c r="E183" s="27">
        <v>145999900</v>
      </c>
      <c r="F183" s="28">
        <f t="shared" si="18"/>
        <v>158708409</v>
      </c>
      <c r="G183" s="19">
        <f t="shared" si="14"/>
        <v>24.06916917312327</v>
      </c>
      <c r="H183" s="27">
        <v>39655212</v>
      </c>
      <c r="I183" s="19">
        <f t="shared" si="15"/>
        <v>21.17149398015718</v>
      </c>
      <c r="J183" s="28">
        <v>242719709</v>
      </c>
      <c r="K183" s="19">
        <f t="shared" si="16"/>
        <v>23.8621593367443</v>
      </c>
      <c r="L183" s="30"/>
      <c r="M183" s="2"/>
      <c r="N183" s="2"/>
      <c r="O183" s="2"/>
    </row>
    <row r="184" spans="1:15" s="3" customFormat="1" ht="15.75" hidden="1">
      <c r="A184" s="44">
        <v>7</v>
      </c>
      <c r="B184" s="27">
        <v>44102542</v>
      </c>
      <c r="C184" s="19">
        <f t="shared" si="13"/>
        <v>16.43694321861804</v>
      </c>
      <c r="D184" s="56">
        <v>12787203</v>
      </c>
      <c r="E184" s="27">
        <v>148683687</v>
      </c>
      <c r="F184" s="28">
        <f>E184+D184</f>
        <v>161470890</v>
      </c>
      <c r="G184" s="19">
        <f t="shared" si="14"/>
        <v>29.48599084296032</v>
      </c>
      <c r="H184" s="27">
        <v>35725396</v>
      </c>
      <c r="I184" s="19">
        <f t="shared" si="15"/>
        <v>18.498098411027613</v>
      </c>
      <c r="J184" s="28">
        <v>241298828</v>
      </c>
      <c r="K184" s="19">
        <f t="shared" si="16"/>
        <v>22.24428258990902</v>
      </c>
      <c r="L184" s="30"/>
      <c r="M184" s="2"/>
      <c r="N184" s="2"/>
      <c r="O184" s="2"/>
    </row>
    <row r="185" spans="1:15" s="3" customFormat="1" ht="15.75" hidden="1">
      <c r="A185" s="44">
        <v>8</v>
      </c>
      <c r="B185" s="27">
        <v>44722523</v>
      </c>
      <c r="C185" s="19">
        <f t="shared" si="13"/>
        <v>18.148054990378682</v>
      </c>
      <c r="D185" s="56">
        <v>12333758</v>
      </c>
      <c r="E185" s="27">
        <v>150788908</v>
      </c>
      <c r="F185" s="28">
        <f>E185+D185</f>
        <v>163122666</v>
      </c>
      <c r="G185" s="19">
        <f t="shared" si="14"/>
        <v>27.503228838307777</v>
      </c>
      <c r="H185" s="27">
        <v>34744475</v>
      </c>
      <c r="I185" s="19">
        <f t="shared" si="15"/>
        <v>6.905747982313898</v>
      </c>
      <c r="J185" s="28">
        <v>242589664</v>
      </c>
      <c r="K185" s="19">
        <f t="shared" si="16"/>
        <v>19.258553028893672</v>
      </c>
      <c r="L185" s="30"/>
      <c r="M185" s="2"/>
      <c r="N185" s="2"/>
      <c r="O185" s="2"/>
    </row>
    <row r="186" spans="1:15" s="3" customFormat="1" ht="15.75" hidden="1">
      <c r="A186" s="44">
        <v>9</v>
      </c>
      <c r="B186" s="27">
        <v>49222682</v>
      </c>
      <c r="C186" s="19">
        <f t="shared" si="13"/>
        <v>39.02791173603919</v>
      </c>
      <c r="D186" s="56">
        <v>13796631</v>
      </c>
      <c r="E186" s="27">
        <v>155650755</v>
      </c>
      <c r="F186" s="28">
        <f>E186+D186</f>
        <v>169447386</v>
      </c>
      <c r="G186" s="19">
        <f t="shared" si="14"/>
        <v>26.104156600008622</v>
      </c>
      <c r="H186" s="27">
        <v>40154375</v>
      </c>
      <c r="I186" s="19">
        <f t="shared" si="15"/>
        <v>16.94964426134264</v>
      </c>
      <c r="J186" s="28">
        <v>258824443</v>
      </c>
      <c r="K186" s="19">
        <f t="shared" si="16"/>
        <v>26.805963319185196</v>
      </c>
      <c r="L186" s="30"/>
      <c r="M186" s="2"/>
      <c r="N186" s="2"/>
      <c r="O186" s="2"/>
    </row>
    <row r="187" spans="1:15" s="3" customFormat="1" ht="15.75" hidden="1">
      <c r="A187" s="44">
        <v>10</v>
      </c>
      <c r="B187" s="27">
        <v>49098428</v>
      </c>
      <c r="C187" s="19">
        <f t="shared" si="13"/>
        <v>37.56796978899453</v>
      </c>
      <c r="D187" s="56">
        <v>13115470</v>
      </c>
      <c r="E187" s="27">
        <v>165866277</v>
      </c>
      <c r="F187" s="28">
        <v>170551129</v>
      </c>
      <c r="G187" s="19">
        <f t="shared" si="14"/>
        <v>25.125760644771617</v>
      </c>
      <c r="H187" s="27">
        <v>36637642</v>
      </c>
      <c r="I187" s="19">
        <f t="shared" si="15"/>
        <v>0.6410594317935505</v>
      </c>
      <c r="J187" s="28">
        <v>264717818</v>
      </c>
      <c r="K187" s="19">
        <f t="shared" si="16"/>
        <v>27.02491375351373</v>
      </c>
      <c r="L187" s="30"/>
      <c r="M187" s="2"/>
      <c r="N187" s="2"/>
      <c r="O187" s="2"/>
    </row>
    <row r="188" spans="1:15" s="3" customFormat="1" ht="15.75" hidden="1">
      <c r="A188" s="44">
        <v>11</v>
      </c>
      <c r="B188" s="27">
        <v>49548671</v>
      </c>
      <c r="C188" s="19">
        <f t="shared" si="13"/>
        <v>39.447554478808314</v>
      </c>
      <c r="D188" s="56">
        <v>13316006</v>
      </c>
      <c r="E188" s="27">
        <v>172484162</v>
      </c>
      <c r="F188" s="28">
        <v>177177754</v>
      </c>
      <c r="G188" s="19">
        <f t="shared" si="14"/>
        <v>33.5550892517432</v>
      </c>
      <c r="H188" s="27">
        <v>35395226</v>
      </c>
      <c r="I188" s="19">
        <f t="shared" si="15"/>
        <v>-1.5784825325792724</v>
      </c>
      <c r="J188" s="28">
        <v>270744065</v>
      </c>
      <c r="K188" s="19">
        <f t="shared" si="16"/>
        <v>29.04866163022828</v>
      </c>
      <c r="L188" s="30"/>
      <c r="M188" s="2"/>
      <c r="N188" s="2"/>
      <c r="O188" s="2"/>
    </row>
    <row r="189" spans="1:15" s="3" customFormat="1" ht="15.75" hidden="1">
      <c r="A189" s="44" t="s">
        <v>99</v>
      </c>
      <c r="B189" s="27">
        <v>53098643</v>
      </c>
      <c r="C189" s="19">
        <f t="shared" si="13"/>
        <v>26.853431543492377</v>
      </c>
      <c r="D189" s="56">
        <v>13156251</v>
      </c>
      <c r="E189" s="27">
        <v>175176683</v>
      </c>
      <c r="F189" s="28">
        <v>179739211</v>
      </c>
      <c r="G189" s="19">
        <f t="shared" si="14"/>
        <v>26.315683872944987</v>
      </c>
      <c r="H189" s="27">
        <v>38174978</v>
      </c>
      <c r="I189" s="19">
        <f t="shared" si="15"/>
        <v>14.22940083644994</v>
      </c>
      <c r="J189" s="28">
        <v>279606554</v>
      </c>
      <c r="K189" s="19">
        <f t="shared" si="16"/>
        <v>28.512492017681467</v>
      </c>
      <c r="L189" s="30"/>
      <c r="M189" s="2"/>
      <c r="N189" s="2"/>
      <c r="O189" s="2"/>
    </row>
    <row r="190" spans="1:15" s="3" customFormat="1" ht="15.75" hidden="1">
      <c r="A190" s="44" t="s">
        <v>83</v>
      </c>
      <c r="B190" s="27">
        <v>51249564</v>
      </c>
      <c r="C190" s="19">
        <f t="shared" si="13"/>
        <v>25.556247080333065</v>
      </c>
      <c r="D190" s="56">
        <v>13492933</v>
      </c>
      <c r="E190" s="27">
        <v>177695718</v>
      </c>
      <c r="F190" s="28">
        <f>E190+D190</f>
        <v>191188651</v>
      </c>
      <c r="G190" s="19">
        <f t="shared" si="14"/>
        <v>31.16522301119801</v>
      </c>
      <c r="H190" s="27">
        <v>35805900</v>
      </c>
      <c r="I190" s="19">
        <f t="shared" si="15"/>
        <v>7.038473392617291</v>
      </c>
      <c r="J190" s="28">
        <v>278244116</v>
      </c>
      <c r="K190" s="19">
        <f t="shared" si="16"/>
        <v>26.456700535070183</v>
      </c>
      <c r="L190" s="30"/>
      <c r="M190" s="2"/>
      <c r="N190" s="2"/>
      <c r="O190" s="2"/>
    </row>
    <row r="191" spans="1:15" s="3" customFormat="1" ht="15.75" hidden="1">
      <c r="A191" s="44">
        <v>2</v>
      </c>
      <c r="B191" s="27">
        <v>51298103</v>
      </c>
      <c r="C191" s="19">
        <f t="shared" si="13"/>
        <v>26.21066273504684</v>
      </c>
      <c r="D191" s="56">
        <v>15096239</v>
      </c>
      <c r="E191" s="27">
        <v>179305640</v>
      </c>
      <c r="F191" s="28">
        <f>E191+D191</f>
        <v>194401879</v>
      </c>
      <c r="G191" s="19">
        <f t="shared" si="14"/>
        <v>30.89897110363117</v>
      </c>
      <c r="H191" s="27">
        <v>40272030</v>
      </c>
      <c r="I191" s="19">
        <f t="shared" si="15"/>
        <v>14.474377749986061</v>
      </c>
      <c r="J191" s="28">
        <v>285972012</v>
      </c>
      <c r="K191" s="19">
        <f t="shared" si="16"/>
        <v>27.47390304791047</v>
      </c>
      <c r="L191" s="30"/>
      <c r="M191" s="2"/>
      <c r="N191" s="2"/>
      <c r="O191" s="2"/>
    </row>
    <row r="192" spans="1:15" s="3" customFormat="1" ht="15.75" hidden="1">
      <c r="A192" s="44">
        <v>3</v>
      </c>
      <c r="B192" s="27">
        <v>52322981</v>
      </c>
      <c r="C192" s="19">
        <f t="shared" si="13"/>
        <v>18.125842956078912</v>
      </c>
      <c r="D192" s="56">
        <v>14847581</v>
      </c>
      <c r="E192" s="27">
        <v>178002683</v>
      </c>
      <c r="F192" s="28">
        <v>182518895</v>
      </c>
      <c r="G192" s="19">
        <f t="shared" si="14"/>
        <v>18.08343383942858</v>
      </c>
      <c r="H192" s="27">
        <v>37661715</v>
      </c>
      <c r="I192" s="19">
        <f t="shared" si="15"/>
        <v>10.457370059978018</v>
      </c>
      <c r="J192" s="28">
        <v>282834960</v>
      </c>
      <c r="K192" s="19">
        <f t="shared" si="16"/>
        <v>21.410193971952012</v>
      </c>
      <c r="L192" s="30"/>
      <c r="M192" s="2"/>
      <c r="N192" s="2"/>
      <c r="O192" s="2"/>
    </row>
    <row r="193" spans="1:15" s="3" customFormat="1" ht="15.75" hidden="1">
      <c r="A193" s="44">
        <v>4</v>
      </c>
      <c r="B193" s="27">
        <v>51464221</v>
      </c>
      <c r="C193" s="19">
        <f t="shared" si="13"/>
        <v>13.167360820895226</v>
      </c>
      <c r="D193" s="56">
        <v>15487936</v>
      </c>
      <c r="E193" s="27">
        <v>177313418</v>
      </c>
      <c r="F193" s="28">
        <v>182292960</v>
      </c>
      <c r="G193" s="19">
        <f t="shared" si="14"/>
        <v>16.027418840730306</v>
      </c>
      <c r="H193" s="27">
        <v>35145397</v>
      </c>
      <c r="I193" s="19">
        <f t="shared" si="15"/>
        <v>2.639503674902471</v>
      </c>
      <c r="J193" s="28">
        <v>279410972</v>
      </c>
      <c r="K193" s="19">
        <f t="shared" si="16"/>
        <v>17.97967063776244</v>
      </c>
      <c r="L193" s="30"/>
      <c r="M193" s="2"/>
      <c r="N193" s="2"/>
      <c r="O193" s="2"/>
    </row>
    <row r="194" spans="1:15" s="3" customFormat="1" ht="15.75" hidden="1">
      <c r="A194" s="44">
        <v>5</v>
      </c>
      <c r="B194" s="27">
        <v>51024054</v>
      </c>
      <c r="C194" s="19">
        <f t="shared" si="13"/>
        <v>24.981722691629045</v>
      </c>
      <c r="D194" s="56">
        <v>15402802</v>
      </c>
      <c r="E194" s="27">
        <v>176870880</v>
      </c>
      <c r="F194" s="28">
        <f aca="true" t="shared" si="19" ref="F194:F257">E194+D194</f>
        <v>192273682</v>
      </c>
      <c r="G194" s="19">
        <f t="shared" si="14"/>
        <v>23.45773916980194</v>
      </c>
      <c r="H194" s="27">
        <v>36936720</v>
      </c>
      <c r="I194" s="19">
        <f t="shared" si="15"/>
        <v>0.9479813461955615</v>
      </c>
      <c r="J194" s="28">
        <v>280234456</v>
      </c>
      <c r="K194" s="19">
        <f t="shared" si="16"/>
        <v>20.19205746319244</v>
      </c>
      <c r="L194" s="30"/>
      <c r="M194" s="2"/>
      <c r="N194" s="2"/>
      <c r="O194" s="2"/>
    </row>
    <row r="195" spans="1:15" s="3" customFormat="1" ht="15.75" hidden="1">
      <c r="A195" s="44">
        <v>6</v>
      </c>
      <c r="B195" s="27">
        <v>55368736</v>
      </c>
      <c r="C195" s="19">
        <f t="shared" si="13"/>
        <v>24.827819009372945</v>
      </c>
      <c r="D195" s="56">
        <v>15921779</v>
      </c>
      <c r="E195" s="27">
        <v>179830331</v>
      </c>
      <c r="F195" s="28">
        <f t="shared" si="19"/>
        <v>195752110</v>
      </c>
      <c r="G195" s="19">
        <f t="shared" si="14"/>
        <v>23.340729853828975</v>
      </c>
      <c r="H195" s="27">
        <v>38191185</v>
      </c>
      <c r="I195" s="19">
        <f t="shared" si="15"/>
        <v>-3.691890488443235</v>
      </c>
      <c r="J195" s="28">
        <v>289312031</v>
      </c>
      <c r="K195" s="19">
        <f t="shared" si="16"/>
        <v>19.19593682439691</v>
      </c>
      <c r="L195" s="30"/>
      <c r="M195" s="2"/>
      <c r="N195" s="2"/>
      <c r="O195" s="2"/>
    </row>
    <row r="196" spans="1:15" s="3" customFormat="1" ht="15.75" hidden="1">
      <c r="A196" s="44">
        <v>7</v>
      </c>
      <c r="B196" s="27">
        <v>54166180</v>
      </c>
      <c r="C196" s="19">
        <f t="shared" si="13"/>
        <v>22.818725505663593</v>
      </c>
      <c r="D196" s="56">
        <v>15514037</v>
      </c>
      <c r="E196" s="27">
        <v>180330431</v>
      </c>
      <c r="F196" s="28">
        <f t="shared" si="19"/>
        <v>195844468</v>
      </c>
      <c r="G196" s="19">
        <f t="shared" si="14"/>
        <v>21.28778630005695</v>
      </c>
      <c r="H196" s="27">
        <v>42618346</v>
      </c>
      <c r="I196" s="19">
        <f t="shared" si="15"/>
        <v>19.294257787933276</v>
      </c>
      <c r="J196" s="28">
        <v>292628994</v>
      </c>
      <c r="K196" s="19">
        <f t="shared" si="16"/>
        <v>21.272447290958254</v>
      </c>
      <c r="L196" s="30"/>
      <c r="M196" s="2"/>
      <c r="N196" s="2"/>
      <c r="O196" s="2"/>
    </row>
    <row r="197" spans="1:15" s="58" customFormat="1" ht="15.75" hidden="1">
      <c r="A197" s="44">
        <v>8</v>
      </c>
      <c r="B197" s="27">
        <v>55732316</v>
      </c>
      <c r="C197" s="19">
        <f t="shared" si="13"/>
        <v>24.618005115677406</v>
      </c>
      <c r="D197" s="56">
        <v>15874470</v>
      </c>
      <c r="E197" s="27">
        <v>181114100</v>
      </c>
      <c r="F197" s="28">
        <f t="shared" si="19"/>
        <v>196988570</v>
      </c>
      <c r="G197" s="19">
        <f t="shared" si="14"/>
        <v>20.761004482356853</v>
      </c>
      <c r="H197" s="27">
        <v>36532603</v>
      </c>
      <c r="I197" s="19">
        <f t="shared" si="15"/>
        <v>5.146510344450434</v>
      </c>
      <c r="J197" s="28">
        <v>289253489</v>
      </c>
      <c r="K197" s="19">
        <f t="shared" si="16"/>
        <v>19.235702061898238</v>
      </c>
      <c r="L197" s="30"/>
      <c r="M197" s="57"/>
      <c r="N197" s="57"/>
      <c r="O197" s="57"/>
    </row>
    <row r="198" spans="1:15" s="58" customFormat="1" ht="15.75" hidden="1">
      <c r="A198" s="44">
        <v>9</v>
      </c>
      <c r="B198" s="27">
        <v>60360359</v>
      </c>
      <c r="C198" s="19">
        <f t="shared" si="13"/>
        <v>22.6271234062378</v>
      </c>
      <c r="D198" s="56">
        <v>16536286</v>
      </c>
      <c r="E198" s="27">
        <v>180986096</v>
      </c>
      <c r="F198" s="28">
        <f t="shared" si="19"/>
        <v>197522382</v>
      </c>
      <c r="G198" s="19">
        <f t="shared" si="14"/>
        <v>16.5685624681162</v>
      </c>
      <c r="H198" s="27">
        <v>35770987</v>
      </c>
      <c r="I198" s="19">
        <f t="shared" si="15"/>
        <v>-10.916339751272432</v>
      </c>
      <c r="J198" s="28">
        <v>293653728</v>
      </c>
      <c r="K198" s="19">
        <f t="shared" si="16"/>
        <v>13.456721705376168</v>
      </c>
      <c r="L198" s="30"/>
      <c r="M198" s="57"/>
      <c r="N198" s="57"/>
      <c r="O198" s="57"/>
    </row>
    <row r="199" spans="1:15" s="58" customFormat="1" ht="15.75" hidden="1">
      <c r="A199" s="44">
        <v>10</v>
      </c>
      <c r="B199" s="27">
        <v>60180462</v>
      </c>
      <c r="C199" s="19">
        <f t="shared" si="13"/>
        <v>22.571056653789398</v>
      </c>
      <c r="D199" s="56">
        <v>16499288</v>
      </c>
      <c r="E199" s="27">
        <v>183562279</v>
      </c>
      <c r="F199" s="28">
        <f t="shared" si="19"/>
        <v>200061567</v>
      </c>
      <c r="G199" s="19">
        <f t="shared" si="14"/>
        <v>17.30298601541361</v>
      </c>
      <c r="H199" s="27">
        <v>38786687</v>
      </c>
      <c r="I199" s="19">
        <f t="shared" si="15"/>
        <v>5.865674979847228</v>
      </c>
      <c r="J199" s="28">
        <v>299028716</v>
      </c>
      <c r="K199" s="19">
        <f t="shared" si="16"/>
        <v>12.961310371635065</v>
      </c>
      <c r="L199" s="30"/>
      <c r="M199" s="57"/>
      <c r="N199" s="57"/>
      <c r="O199" s="57"/>
    </row>
    <row r="200" spans="1:15" s="58" customFormat="1" ht="15.75" hidden="1">
      <c r="A200" s="44">
        <v>11</v>
      </c>
      <c r="B200" s="27">
        <v>63554013</v>
      </c>
      <c r="C200" s="19">
        <f t="shared" si="13"/>
        <v>28.26582775550125</v>
      </c>
      <c r="D200" s="56">
        <v>18484800</v>
      </c>
      <c r="E200" s="27">
        <v>186137074</v>
      </c>
      <c r="F200" s="28">
        <f t="shared" si="19"/>
        <v>204621874</v>
      </c>
      <c r="G200" s="19">
        <f t="shared" si="14"/>
        <v>15.489596961478583</v>
      </c>
      <c r="H200" s="27">
        <v>40929455</v>
      </c>
      <c r="I200" s="19">
        <f t="shared" si="15"/>
        <v>15.635523841548576</v>
      </c>
      <c r="J200" s="28">
        <v>309105342</v>
      </c>
      <c r="K200" s="19">
        <f t="shared" si="16"/>
        <v>14.168833950247432</v>
      </c>
      <c r="L200" s="30"/>
      <c r="M200" s="57"/>
      <c r="N200" s="57"/>
      <c r="O200" s="57"/>
    </row>
    <row r="201" spans="1:15" s="58" customFormat="1" ht="15.75" hidden="1">
      <c r="A201" s="53" t="s">
        <v>100</v>
      </c>
      <c r="B201" s="17">
        <v>70288639</v>
      </c>
      <c r="C201" s="16">
        <f t="shared" si="13"/>
        <v>32.37370115089382</v>
      </c>
      <c r="D201" s="55">
        <v>18188424</v>
      </c>
      <c r="E201" s="17">
        <v>190685577</v>
      </c>
      <c r="F201" s="22">
        <f t="shared" si="19"/>
        <v>208874001</v>
      </c>
      <c r="G201" s="16">
        <f t="shared" si="14"/>
        <v>16.20947918815557</v>
      </c>
      <c r="H201" s="17">
        <v>39569246</v>
      </c>
      <c r="I201" s="16">
        <f t="shared" si="15"/>
        <v>3.6523085881018886</v>
      </c>
      <c r="J201" s="22">
        <v>318731886</v>
      </c>
      <c r="K201" s="16">
        <f t="shared" si="16"/>
        <v>13.99299531440883</v>
      </c>
      <c r="L201" s="30"/>
      <c r="M201" s="57"/>
      <c r="N201" s="57"/>
      <c r="O201" s="57"/>
    </row>
    <row r="202" spans="1:15" s="58" customFormat="1" ht="15.75" hidden="1">
      <c r="A202" s="52" t="s">
        <v>90</v>
      </c>
      <c r="B202" s="25">
        <v>67437286</v>
      </c>
      <c r="C202" s="24">
        <f t="shared" si="13"/>
        <v>31.586067737083567</v>
      </c>
      <c r="D202" s="59">
        <v>17794465</v>
      </c>
      <c r="E202" s="25">
        <v>193675364</v>
      </c>
      <c r="F202" s="31">
        <f t="shared" si="19"/>
        <v>211469829</v>
      </c>
      <c r="G202" s="24">
        <f t="shared" si="14"/>
        <v>10.607940321729671</v>
      </c>
      <c r="H202" s="25">
        <v>41074383</v>
      </c>
      <c r="I202" s="24">
        <f t="shared" si="15"/>
        <v>14.71400802661013</v>
      </c>
      <c r="J202" s="31">
        <v>319981498</v>
      </c>
      <c r="K202" s="24">
        <f t="shared" si="16"/>
        <v>15.000274794669878</v>
      </c>
      <c r="L202" s="30"/>
      <c r="M202" s="57"/>
      <c r="N202" s="57"/>
      <c r="O202" s="57"/>
    </row>
    <row r="203" spans="1:15" s="58" customFormat="1" ht="15.75" hidden="1">
      <c r="A203" s="44">
        <v>2</v>
      </c>
      <c r="B203" s="27">
        <v>70271575</v>
      </c>
      <c r="C203" s="19">
        <f t="shared" si="13"/>
        <v>36.98669325062568</v>
      </c>
      <c r="D203" s="56">
        <v>19984128</v>
      </c>
      <c r="E203" s="27">
        <v>197856401</v>
      </c>
      <c r="F203" s="28">
        <f t="shared" si="19"/>
        <v>217840529</v>
      </c>
      <c r="G203" s="19">
        <f t="shared" si="14"/>
        <v>12.056802187596148</v>
      </c>
      <c r="H203" s="27">
        <v>45299061</v>
      </c>
      <c r="I203" s="19">
        <f t="shared" si="15"/>
        <v>12.482685874042105</v>
      </c>
      <c r="J203" s="28">
        <v>333411165</v>
      </c>
      <c r="K203" s="19">
        <f t="shared" si="16"/>
        <v>16.588739809964338</v>
      </c>
      <c r="L203" s="30"/>
      <c r="M203" s="57"/>
      <c r="N203" s="57"/>
      <c r="O203" s="57"/>
    </row>
    <row r="204" spans="1:15" s="58" customFormat="1" ht="15.75" hidden="1">
      <c r="A204" s="44">
        <v>3</v>
      </c>
      <c r="B204" s="27">
        <v>72668801</v>
      </c>
      <c r="C204" s="19">
        <f t="shared" si="13"/>
        <v>38.88505511564796</v>
      </c>
      <c r="D204" s="56">
        <v>19456782</v>
      </c>
      <c r="E204" s="27">
        <v>201062230</v>
      </c>
      <c r="F204" s="28">
        <f t="shared" si="19"/>
        <v>220519012</v>
      </c>
      <c r="G204" s="19">
        <f t="shared" si="14"/>
        <v>20.81982635277295</v>
      </c>
      <c r="H204" s="27">
        <v>44530095</v>
      </c>
      <c r="I204" s="19">
        <f t="shared" si="15"/>
        <v>18.237034611939464</v>
      </c>
      <c r="J204" s="28">
        <v>337717908</v>
      </c>
      <c r="K204" s="19">
        <f t="shared" si="16"/>
        <v>19.40458421405897</v>
      </c>
      <c r="L204" s="61"/>
      <c r="M204" s="57"/>
      <c r="N204" s="57"/>
      <c r="O204" s="57"/>
    </row>
    <row r="205" spans="1:15" s="3" customFormat="1" ht="15" customHeight="1" hidden="1">
      <c r="A205" s="44">
        <v>4</v>
      </c>
      <c r="B205" s="27">
        <v>68622155</v>
      </c>
      <c r="C205" s="19">
        <f t="shared" si="13"/>
        <v>33.33953893910103</v>
      </c>
      <c r="D205" s="56">
        <v>19082080</v>
      </c>
      <c r="E205" s="27">
        <v>200431686</v>
      </c>
      <c r="F205" s="28">
        <f t="shared" si="19"/>
        <v>219513766</v>
      </c>
      <c r="G205" s="19">
        <f t="shared" si="14"/>
        <v>20.418125856313935</v>
      </c>
      <c r="H205" s="27">
        <v>46371835</v>
      </c>
      <c r="I205" s="19">
        <f t="shared" si="15"/>
        <v>31.942840196114446</v>
      </c>
      <c r="J205" s="28">
        <v>334507756</v>
      </c>
      <c r="K205" s="19">
        <f t="shared" si="16"/>
        <v>19.71890495409751</v>
      </c>
      <c r="L205" s="61"/>
      <c r="M205" s="2"/>
      <c r="N205" s="2"/>
      <c r="O205" s="2"/>
    </row>
    <row r="206" spans="1:34" ht="12.75" customHeight="1" hidden="1">
      <c r="A206" s="44">
        <v>5</v>
      </c>
      <c r="B206" s="27">
        <v>74729381</v>
      </c>
      <c r="C206" s="19">
        <f t="shared" si="13"/>
        <v>46.4591210255461</v>
      </c>
      <c r="D206" s="56">
        <v>20301077</v>
      </c>
      <c r="E206" s="27">
        <v>207616604</v>
      </c>
      <c r="F206" s="28">
        <f t="shared" si="19"/>
        <v>227917681</v>
      </c>
      <c r="G206" s="19">
        <f t="shared" si="14"/>
        <v>18.5381580199832</v>
      </c>
      <c r="H206" s="27">
        <v>44337984</v>
      </c>
      <c r="I206" s="19">
        <f t="shared" si="15"/>
        <v>20.037686074995293</v>
      </c>
      <c r="J206" s="28">
        <v>346985046</v>
      </c>
      <c r="K206" s="19">
        <f t="shared" si="16"/>
        <v>23.819551297432184</v>
      </c>
      <c r="L206" s="61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</row>
    <row r="207" spans="1:26" ht="12.75" customHeight="1" hidden="1">
      <c r="A207" s="44">
        <v>6</v>
      </c>
      <c r="B207" s="27">
        <v>81525206</v>
      </c>
      <c r="C207" s="19">
        <f t="shared" si="13"/>
        <v>47.240504099642095</v>
      </c>
      <c r="D207" s="56">
        <v>21253064</v>
      </c>
      <c r="E207" s="27">
        <v>211458702</v>
      </c>
      <c r="F207" s="28">
        <f t="shared" si="19"/>
        <v>232711766</v>
      </c>
      <c r="G207" s="19">
        <f t="shared" si="14"/>
        <v>18.880846801600242</v>
      </c>
      <c r="H207" s="27">
        <v>46075964</v>
      </c>
      <c r="I207" s="19">
        <f t="shared" si="15"/>
        <v>20.645546871614485</v>
      </c>
      <c r="J207" s="28">
        <v>360312936</v>
      </c>
      <c r="K207" s="19">
        <f t="shared" si="16"/>
        <v>24.541290161555708</v>
      </c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hidden="1">
      <c r="A208" s="44">
        <v>7</v>
      </c>
      <c r="B208" s="27">
        <v>78133356</v>
      </c>
      <c r="C208" s="19">
        <f t="shared" si="13"/>
        <v>44.24749170054082</v>
      </c>
      <c r="D208" s="56">
        <v>20942805</v>
      </c>
      <c r="E208" s="27">
        <v>213124701</v>
      </c>
      <c r="F208" s="28">
        <f t="shared" si="19"/>
        <v>234067506</v>
      </c>
      <c r="G208" s="19">
        <f t="shared" si="14"/>
        <v>19.517037366610722</v>
      </c>
      <c r="H208" s="27">
        <v>49466169</v>
      </c>
      <c r="I208" s="19">
        <f t="shared" si="15"/>
        <v>16.067782170617335</v>
      </c>
      <c r="J208" s="28">
        <v>361667031</v>
      </c>
      <c r="K208" s="19">
        <f t="shared" si="16"/>
        <v>23.5923433479049</v>
      </c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hidden="1">
      <c r="A209" s="44">
        <v>8</v>
      </c>
      <c r="B209" s="27">
        <v>80049119</v>
      </c>
      <c r="C209" s="19">
        <f t="shared" si="13"/>
        <v>43.63142382240136</v>
      </c>
      <c r="D209" s="56">
        <v>21468152</v>
      </c>
      <c r="E209" s="27">
        <v>213142536</v>
      </c>
      <c r="F209" s="28">
        <f t="shared" si="19"/>
        <v>234610688</v>
      </c>
      <c r="G209" s="19">
        <f t="shared" si="14"/>
        <v>19.09862993573688</v>
      </c>
      <c r="H209" s="27">
        <v>47432951</v>
      </c>
      <c r="I209" s="19">
        <f t="shared" si="15"/>
        <v>29.83731545217296</v>
      </c>
      <c r="J209" s="28">
        <v>362092758</v>
      </c>
      <c r="K209" s="19">
        <f t="shared" si="16"/>
        <v>25.18181172224338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hidden="1">
      <c r="A210" s="44">
        <v>9</v>
      </c>
      <c r="B210" s="27">
        <v>82957444</v>
      </c>
      <c r="C210" s="19">
        <f t="shared" si="13"/>
        <v>37.43696256014647</v>
      </c>
      <c r="D210" s="56">
        <v>21947600</v>
      </c>
      <c r="E210" s="27">
        <v>213762775</v>
      </c>
      <c r="F210" s="28">
        <f t="shared" si="19"/>
        <v>235710375</v>
      </c>
      <c r="G210" s="19">
        <f t="shared" si="14"/>
        <v>19.333501658561403</v>
      </c>
      <c r="H210" s="27">
        <v>44995725</v>
      </c>
      <c r="I210" s="19">
        <f t="shared" si="15"/>
        <v>25.788323928551364</v>
      </c>
      <c r="J210" s="28">
        <v>363663544</v>
      </c>
      <c r="K210" s="19">
        <f t="shared" si="16"/>
        <v>23.840942349623447</v>
      </c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12" ht="15.75" hidden="1">
      <c r="A211" s="44">
        <v>10</v>
      </c>
      <c r="B211" s="27">
        <v>82260824</v>
      </c>
      <c r="C211" s="19">
        <f t="shared" si="13"/>
        <v>36.6902500682032</v>
      </c>
      <c r="D211" s="56">
        <v>22227592</v>
      </c>
      <c r="E211" s="27">
        <v>214057119</v>
      </c>
      <c r="F211" s="28">
        <f t="shared" si="19"/>
        <v>236284711</v>
      </c>
      <c r="G211" s="19">
        <f t="shared" si="14"/>
        <v>18.105998340000994</v>
      </c>
      <c r="H211" s="27">
        <v>50634982</v>
      </c>
      <c r="I211" s="19">
        <f t="shared" si="15"/>
        <v>30.547324137274217</v>
      </c>
      <c r="J211" s="28">
        <v>369180517</v>
      </c>
      <c r="K211" s="19">
        <f t="shared" si="16"/>
        <v>23.459887711921283</v>
      </c>
      <c r="L211" s="1"/>
    </row>
    <row r="212" spans="1:11" ht="15.75" hidden="1">
      <c r="A212" s="44">
        <v>11</v>
      </c>
      <c r="B212" s="27">
        <v>85247898</v>
      </c>
      <c r="C212" s="19">
        <f t="shared" si="13"/>
        <v>34.13456361913762</v>
      </c>
      <c r="D212" s="56">
        <v>22290884</v>
      </c>
      <c r="E212" s="27">
        <v>218800352</v>
      </c>
      <c r="F212" s="28">
        <f t="shared" si="19"/>
        <v>241091236</v>
      </c>
      <c r="G212" s="19">
        <f t="shared" si="14"/>
        <v>17.822807155016093</v>
      </c>
      <c r="H212" s="27">
        <v>49571528</v>
      </c>
      <c r="I212" s="19">
        <f t="shared" si="15"/>
        <v>21.114556741593546</v>
      </c>
      <c r="J212" s="28">
        <v>375910662</v>
      </c>
      <c r="K212" s="19">
        <f t="shared" si="16"/>
        <v>21.612476694110327</v>
      </c>
    </row>
    <row r="213" spans="1:11" ht="15.75" hidden="1">
      <c r="A213" s="44">
        <v>12</v>
      </c>
      <c r="B213" s="27">
        <v>97473878</v>
      </c>
      <c r="C213" s="19">
        <f t="shared" si="13"/>
        <v>38.67657616759374</v>
      </c>
      <c r="D213" s="67">
        <v>24833779</v>
      </c>
      <c r="E213" s="27">
        <v>228765494</v>
      </c>
      <c r="F213" s="22">
        <f t="shared" si="19"/>
        <v>253599273</v>
      </c>
      <c r="G213" s="19">
        <f t="shared" si="14"/>
        <v>21.41256058000249</v>
      </c>
      <c r="H213" s="18">
        <v>51435112</v>
      </c>
      <c r="I213" s="19">
        <f t="shared" si="15"/>
        <v>29.98759693323447</v>
      </c>
      <c r="J213" s="28">
        <v>402508263</v>
      </c>
      <c r="K213" s="19">
        <f t="shared" si="16"/>
        <v>26.284278630347018</v>
      </c>
    </row>
    <row r="214" spans="1:11" ht="15.75" hidden="1">
      <c r="A214" s="52" t="s">
        <v>91</v>
      </c>
      <c r="B214" s="25">
        <v>93862748</v>
      </c>
      <c r="C214" s="24">
        <f t="shared" si="13"/>
        <v>39.18523945343827</v>
      </c>
      <c r="D214" s="59">
        <v>24649647</v>
      </c>
      <c r="E214" s="25">
        <v>233524675</v>
      </c>
      <c r="F214" s="31">
        <f t="shared" si="19"/>
        <v>258174322</v>
      </c>
      <c r="G214" s="24">
        <f t="shared" si="14"/>
        <v>22.0856531737206</v>
      </c>
      <c r="H214" s="25">
        <v>48418867</v>
      </c>
      <c r="I214" s="24">
        <f t="shared" si="15"/>
        <v>17.880935667372057</v>
      </c>
      <c r="J214" s="31">
        <v>400455937</v>
      </c>
      <c r="K214" s="24">
        <f t="shared" si="16"/>
        <v>25.149716312660047</v>
      </c>
    </row>
    <row r="215" spans="1:11" ht="15.75" hidden="1">
      <c r="A215" s="44">
        <v>2</v>
      </c>
      <c r="B215" s="27">
        <v>96503378</v>
      </c>
      <c r="C215" s="19">
        <f t="shared" si="13"/>
        <v>37.329180397621656</v>
      </c>
      <c r="D215" s="56">
        <v>25805074</v>
      </c>
      <c r="E215" s="27">
        <v>237961960</v>
      </c>
      <c r="F215" s="28">
        <f t="shared" si="19"/>
        <v>263767034</v>
      </c>
      <c r="G215" s="19">
        <f aca="true" t="shared" si="20" ref="G215:G278">F215/F203*100-100</f>
        <v>21.08262645653049</v>
      </c>
      <c r="H215" s="27">
        <v>50784899</v>
      </c>
      <c r="I215" s="19">
        <f aca="true" t="shared" si="21" ref="I215:I278">H215/H203*100-100</f>
        <v>12.110268687467936</v>
      </c>
      <c r="J215" s="28">
        <v>411055311</v>
      </c>
      <c r="K215" s="19">
        <f t="shared" si="16"/>
        <v>23.28780621368813</v>
      </c>
    </row>
    <row r="216" spans="1:11" ht="15.75" hidden="1">
      <c r="A216" s="44">
        <v>3</v>
      </c>
      <c r="B216" s="27">
        <v>97293343</v>
      </c>
      <c r="C216" s="19">
        <f t="shared" si="13"/>
        <v>33.88598911931959</v>
      </c>
      <c r="D216" s="56">
        <v>26446677</v>
      </c>
      <c r="E216" s="27">
        <v>240320107</v>
      </c>
      <c r="F216" s="28">
        <f t="shared" si="19"/>
        <v>266766784</v>
      </c>
      <c r="G216" s="19">
        <f t="shared" si="20"/>
        <v>20.97223798553931</v>
      </c>
      <c r="H216" s="27">
        <v>53385999</v>
      </c>
      <c r="I216" s="19">
        <f t="shared" si="21"/>
        <v>19.887458133650966</v>
      </c>
      <c r="J216" s="28">
        <v>417446126</v>
      </c>
      <c r="K216" s="19">
        <f t="shared" si="16"/>
        <v>23.607933162963917</v>
      </c>
    </row>
    <row r="217" spans="1:11" ht="15.75" hidden="1">
      <c r="A217" s="44">
        <v>4</v>
      </c>
      <c r="B217" s="27">
        <v>94899181</v>
      </c>
      <c r="C217" s="19">
        <f t="shared" si="13"/>
        <v>38.29233576240793</v>
      </c>
      <c r="D217" s="56">
        <v>26876494</v>
      </c>
      <c r="E217" s="27">
        <v>241987929</v>
      </c>
      <c r="F217" s="28">
        <f t="shared" si="19"/>
        <v>268864423</v>
      </c>
      <c r="G217" s="19">
        <f t="shared" si="20"/>
        <v>22.481805081873546</v>
      </c>
      <c r="H217" s="27">
        <v>53654055</v>
      </c>
      <c r="I217" s="19">
        <f t="shared" si="21"/>
        <v>15.703972033886515</v>
      </c>
      <c r="J217" s="28">
        <v>417417659</v>
      </c>
      <c r="K217" s="19">
        <f t="shared" si="16"/>
        <v>24.785644432112946</v>
      </c>
    </row>
    <row r="218" spans="1:11" ht="15.75" hidden="1">
      <c r="A218" s="44">
        <v>5</v>
      </c>
      <c r="B218" s="27">
        <v>99796420</v>
      </c>
      <c r="C218" s="19">
        <f t="shared" si="13"/>
        <v>33.54375302533285</v>
      </c>
      <c r="D218" s="56">
        <v>27582643</v>
      </c>
      <c r="E218" s="27">
        <v>247323180</v>
      </c>
      <c r="F218" s="28">
        <f t="shared" si="19"/>
        <v>274905823</v>
      </c>
      <c r="G218" s="19">
        <f t="shared" si="20"/>
        <v>20.616277681414275</v>
      </c>
      <c r="H218" s="27">
        <v>57636581</v>
      </c>
      <c r="I218" s="19">
        <f t="shared" si="21"/>
        <v>29.99368893272188</v>
      </c>
      <c r="J218" s="28">
        <v>432338824</v>
      </c>
      <c r="K218" s="19">
        <f t="shared" si="16"/>
        <v>24.598690630604295</v>
      </c>
    </row>
    <row r="219" spans="1:11" ht="15.75" hidden="1">
      <c r="A219" s="44">
        <v>6</v>
      </c>
      <c r="B219" s="27">
        <v>102223126</v>
      </c>
      <c r="C219" s="19">
        <f t="shared" si="13"/>
        <v>25.388368843864058</v>
      </c>
      <c r="D219" s="56">
        <v>28820734</v>
      </c>
      <c r="E219" s="27">
        <v>250924913</v>
      </c>
      <c r="F219" s="28">
        <f t="shared" si="19"/>
        <v>279745647</v>
      </c>
      <c r="G219" s="19">
        <f t="shared" si="20"/>
        <v>20.211217425078544</v>
      </c>
      <c r="H219" s="27">
        <v>52984381</v>
      </c>
      <c r="I219" s="19">
        <f t="shared" si="21"/>
        <v>14.993537628425969</v>
      </c>
      <c r="J219" s="28">
        <v>434953154</v>
      </c>
      <c r="K219" s="19">
        <f t="shared" si="16"/>
        <v>20.71538669374891</v>
      </c>
    </row>
    <row r="220" spans="1:11" ht="15.75" hidden="1">
      <c r="A220" s="44">
        <v>7</v>
      </c>
      <c r="B220" s="27">
        <v>101309922</v>
      </c>
      <c r="C220" s="19">
        <f t="shared" si="13"/>
        <v>29.66283183842762</v>
      </c>
      <c r="D220" s="56">
        <v>28216495</v>
      </c>
      <c r="E220" s="27">
        <v>253521379</v>
      </c>
      <c r="F220" s="28">
        <f t="shared" si="19"/>
        <v>281737874</v>
      </c>
      <c r="G220" s="19">
        <f t="shared" si="20"/>
        <v>20.366076784703296</v>
      </c>
      <c r="H220" s="27">
        <v>55851554</v>
      </c>
      <c r="I220" s="19">
        <f t="shared" si="21"/>
        <v>12.908590111354698</v>
      </c>
      <c r="J220" s="28">
        <v>438899350</v>
      </c>
      <c r="K220" s="19">
        <f t="shared" si="16"/>
        <v>21.354536736858392</v>
      </c>
    </row>
    <row r="221" spans="1:11" ht="15.75" hidden="1">
      <c r="A221" s="44">
        <v>8</v>
      </c>
      <c r="B221" s="27">
        <v>100371010</v>
      </c>
      <c r="C221" s="19">
        <f t="shared" si="13"/>
        <v>25.386776586510578</v>
      </c>
      <c r="D221" s="56">
        <v>30973038</v>
      </c>
      <c r="E221" s="27">
        <v>252941962</v>
      </c>
      <c r="F221" s="28">
        <f t="shared" si="19"/>
        <v>283915000</v>
      </c>
      <c r="G221" s="19">
        <f t="shared" si="20"/>
        <v>21.015373349060724</v>
      </c>
      <c r="H221" s="27">
        <v>60678642</v>
      </c>
      <c r="I221" s="19">
        <f t="shared" si="21"/>
        <v>27.92508313471788</v>
      </c>
      <c r="J221" s="28">
        <v>444964652</v>
      </c>
      <c r="K221" s="19">
        <f t="shared" si="16"/>
        <v>22.886923908044594</v>
      </c>
    </row>
    <row r="222" spans="1:11" ht="15.75" hidden="1">
      <c r="A222" s="44">
        <v>9</v>
      </c>
      <c r="B222" s="27">
        <v>97945626</v>
      </c>
      <c r="C222" s="19">
        <f t="shared" si="13"/>
        <v>18.067314127952145</v>
      </c>
      <c r="D222" s="56">
        <v>27619492</v>
      </c>
      <c r="E222" s="27">
        <v>252636975</v>
      </c>
      <c r="F222" s="28">
        <f t="shared" si="19"/>
        <v>280256467</v>
      </c>
      <c r="G222" s="19">
        <f t="shared" si="20"/>
        <v>18.89865560648316</v>
      </c>
      <c r="H222" s="27">
        <v>59313588</v>
      </c>
      <c r="I222" s="19">
        <f t="shared" si="21"/>
        <v>31.820496280479972</v>
      </c>
      <c r="J222" s="28">
        <v>437515681</v>
      </c>
      <c r="K222" s="19">
        <f t="shared" si="16"/>
        <v>20.307819746705206</v>
      </c>
    </row>
    <row r="223" spans="1:11" ht="15.75" hidden="1">
      <c r="A223" s="44">
        <v>10</v>
      </c>
      <c r="B223" s="27">
        <v>97611447</v>
      </c>
      <c r="C223" s="19">
        <f t="shared" si="13"/>
        <v>18.660915674756666</v>
      </c>
      <c r="D223" s="56">
        <v>27046692</v>
      </c>
      <c r="E223" s="27">
        <v>252026958</v>
      </c>
      <c r="F223" s="28">
        <f t="shared" si="19"/>
        <v>279073650</v>
      </c>
      <c r="G223" s="19">
        <f t="shared" si="20"/>
        <v>18.109059540462596</v>
      </c>
      <c r="H223" s="27">
        <v>54744257</v>
      </c>
      <c r="I223" s="19">
        <f t="shared" si="21"/>
        <v>8.115486246247698</v>
      </c>
      <c r="J223" s="28">
        <v>431429354</v>
      </c>
      <c r="K223" s="19">
        <f t="shared" si="16"/>
        <v>16.86135484771532</v>
      </c>
    </row>
    <row r="224" spans="1:11" ht="15.75" hidden="1">
      <c r="A224" s="44">
        <v>11</v>
      </c>
      <c r="B224" s="27">
        <v>97192049</v>
      </c>
      <c r="C224" s="19">
        <f t="shared" si="13"/>
        <v>14.011079780524312</v>
      </c>
      <c r="D224" s="56">
        <v>27570389</v>
      </c>
      <c r="E224" s="27">
        <v>253830765</v>
      </c>
      <c r="F224" s="28">
        <f t="shared" si="19"/>
        <v>281401154</v>
      </c>
      <c r="G224" s="19">
        <f t="shared" si="20"/>
        <v>16.71977740410273</v>
      </c>
      <c r="H224" s="27">
        <v>54942349</v>
      </c>
      <c r="I224" s="19">
        <f t="shared" si="21"/>
        <v>10.834487490480413</v>
      </c>
      <c r="J224" s="28">
        <v>433535552</v>
      </c>
      <c r="K224" s="19">
        <f t="shared" si="16"/>
        <v>15.329410901359324</v>
      </c>
    </row>
    <row r="225" spans="1:11" ht="15.75" hidden="1">
      <c r="A225" s="44">
        <v>12</v>
      </c>
      <c r="B225" s="27">
        <v>100204430</v>
      </c>
      <c r="C225" s="19">
        <f t="shared" si="13"/>
        <v>2.8013166768639195</v>
      </c>
      <c r="D225" s="67">
        <v>27025903</v>
      </c>
      <c r="E225" s="27">
        <v>254693571</v>
      </c>
      <c r="F225" s="22">
        <f t="shared" si="19"/>
        <v>281719474</v>
      </c>
      <c r="G225" s="19">
        <f t="shared" si="20"/>
        <v>11.088439121826667</v>
      </c>
      <c r="H225" s="18">
        <v>59073829</v>
      </c>
      <c r="I225" s="19">
        <f t="shared" si="21"/>
        <v>14.851172094268989</v>
      </c>
      <c r="J225" s="28">
        <v>440997733</v>
      </c>
      <c r="K225" s="19">
        <f t="shared" si="16"/>
        <v>9.562404933783924</v>
      </c>
    </row>
    <row r="226" spans="1:11" ht="15.75" hidden="1">
      <c r="A226" s="52" t="s">
        <v>95</v>
      </c>
      <c r="B226" s="25">
        <v>97920413</v>
      </c>
      <c r="C226" s="24">
        <f t="shared" si="13"/>
        <v>4.322976991894592</v>
      </c>
      <c r="D226" s="59">
        <v>25980026</v>
      </c>
      <c r="E226" s="25">
        <v>255535905</v>
      </c>
      <c r="F226" s="31">
        <f t="shared" si="19"/>
        <v>281515931</v>
      </c>
      <c r="G226" s="24">
        <f t="shared" si="20"/>
        <v>9.041026551044837</v>
      </c>
      <c r="H226" s="25">
        <v>60858961</v>
      </c>
      <c r="I226" s="24">
        <f t="shared" si="21"/>
        <v>25.69265819458353</v>
      </c>
      <c r="J226" s="31">
        <v>440295305</v>
      </c>
      <c r="K226" s="24">
        <f t="shared" si="16"/>
        <v>9.948502274296402</v>
      </c>
    </row>
    <row r="227" spans="1:11" ht="15.75" hidden="1">
      <c r="A227" s="44">
        <v>2</v>
      </c>
      <c r="B227" s="27">
        <v>97452735</v>
      </c>
      <c r="C227" s="19">
        <f t="shared" si="13"/>
        <v>0.9837552007764998</v>
      </c>
      <c r="D227" s="56">
        <v>26399410</v>
      </c>
      <c r="E227" s="27">
        <v>256425125</v>
      </c>
      <c r="F227" s="28">
        <f t="shared" si="19"/>
        <v>282824535</v>
      </c>
      <c r="G227" s="19">
        <f t="shared" si="20"/>
        <v>7.225126169481811</v>
      </c>
      <c r="H227" s="27">
        <v>55135922</v>
      </c>
      <c r="I227" s="19">
        <f t="shared" si="21"/>
        <v>8.567552728617216</v>
      </c>
      <c r="J227" s="28">
        <v>435413192</v>
      </c>
      <c r="K227" s="19">
        <f t="shared" si="16"/>
        <v>5.92569426745591</v>
      </c>
    </row>
    <row r="228" spans="1:11" ht="15.75" hidden="1">
      <c r="A228" s="44">
        <v>3</v>
      </c>
      <c r="B228" s="27">
        <v>98987749</v>
      </c>
      <c r="C228" s="19">
        <f t="shared" si="13"/>
        <v>1.7415436120845413</v>
      </c>
      <c r="D228" s="56">
        <v>25906301</v>
      </c>
      <c r="E228" s="27">
        <v>258377834</v>
      </c>
      <c r="F228" s="28">
        <f t="shared" si="19"/>
        <v>284284135</v>
      </c>
      <c r="G228" s="19">
        <f t="shared" si="20"/>
        <v>6.566541282740815</v>
      </c>
      <c r="H228" s="27">
        <v>56456311</v>
      </c>
      <c r="I228" s="19">
        <f t="shared" si="21"/>
        <v>5.751155841440749</v>
      </c>
      <c r="J228" s="28">
        <v>439728195</v>
      </c>
      <c r="K228" s="19">
        <f t="shared" si="16"/>
        <v>5.3377112906780155</v>
      </c>
    </row>
    <row r="229" spans="1:11" ht="15.75" hidden="1">
      <c r="A229" s="44">
        <v>4</v>
      </c>
      <c r="B229" s="27">
        <v>99281210</v>
      </c>
      <c r="C229" s="19">
        <f t="shared" si="13"/>
        <v>4.617562505623724</v>
      </c>
      <c r="D229" s="56">
        <v>26879253</v>
      </c>
      <c r="E229" s="27">
        <v>259454195</v>
      </c>
      <c r="F229" s="28">
        <f t="shared" si="19"/>
        <v>286333448</v>
      </c>
      <c r="G229" s="19">
        <f t="shared" si="20"/>
        <v>6.497336019797601</v>
      </c>
      <c r="H229" s="27">
        <v>58759306</v>
      </c>
      <c r="I229" s="19">
        <f t="shared" si="21"/>
        <v>9.51512611674923</v>
      </c>
      <c r="J229" s="28">
        <v>444373964</v>
      </c>
      <c r="K229" s="19">
        <f t="shared" si="16"/>
        <v>6.457873647362874</v>
      </c>
    </row>
    <row r="230" spans="1:11" ht="15.75" hidden="1">
      <c r="A230" s="44">
        <v>5</v>
      </c>
      <c r="B230" s="27">
        <v>99136067</v>
      </c>
      <c r="C230" s="19">
        <f t="shared" si="13"/>
        <v>-0.6617000890412754</v>
      </c>
      <c r="D230" s="56">
        <v>28063663</v>
      </c>
      <c r="E230" s="27">
        <v>261991152</v>
      </c>
      <c r="F230" s="28">
        <f t="shared" si="19"/>
        <v>290054815</v>
      </c>
      <c r="G230" s="19">
        <f t="shared" si="20"/>
        <v>5.510611537682848</v>
      </c>
      <c r="H230" s="27">
        <v>54036775</v>
      </c>
      <c r="I230" s="19">
        <f t="shared" si="21"/>
        <v>-6.245696634920108</v>
      </c>
      <c r="J230" s="28">
        <v>443227657</v>
      </c>
      <c r="K230" s="19">
        <f t="shared" si="16"/>
        <v>2.5185878286979886</v>
      </c>
    </row>
    <row r="231" spans="1:11" ht="15.75" hidden="1">
      <c r="A231" s="44">
        <v>6</v>
      </c>
      <c r="B231" s="27">
        <v>100046571</v>
      </c>
      <c r="C231" s="19">
        <f t="shared" si="13"/>
        <v>-2.129219761876584</v>
      </c>
      <c r="D231" s="56">
        <v>28719026</v>
      </c>
      <c r="E231" s="27">
        <v>263685023</v>
      </c>
      <c r="F231" s="28">
        <f t="shared" si="19"/>
        <v>292404049</v>
      </c>
      <c r="G231" s="19">
        <f t="shared" si="20"/>
        <v>4.524968354556734</v>
      </c>
      <c r="H231" s="27">
        <v>58921920</v>
      </c>
      <c r="I231" s="19">
        <f t="shared" si="21"/>
        <v>11.206206221414575</v>
      </c>
      <c r="J231" s="28">
        <v>451372540</v>
      </c>
      <c r="K231" s="19">
        <f t="shared" si="16"/>
        <v>3.774978029013212</v>
      </c>
    </row>
    <row r="232" spans="1:11" ht="15.75" hidden="1">
      <c r="A232" s="44">
        <v>7</v>
      </c>
      <c r="B232" s="27">
        <v>106072316</v>
      </c>
      <c r="C232" s="19">
        <f t="shared" si="13"/>
        <v>4.700816964403543</v>
      </c>
      <c r="D232" s="56">
        <v>29322060</v>
      </c>
      <c r="E232" s="27">
        <v>266651222</v>
      </c>
      <c r="F232" s="28">
        <f t="shared" si="19"/>
        <v>295973282</v>
      </c>
      <c r="G232" s="19">
        <f t="shared" si="20"/>
        <v>5.052713644030689</v>
      </c>
      <c r="H232" s="27">
        <v>56625401</v>
      </c>
      <c r="I232" s="19">
        <f t="shared" si="21"/>
        <v>1.3855424685228996</v>
      </c>
      <c r="J232" s="28">
        <v>458670999</v>
      </c>
      <c r="K232" s="19">
        <f t="shared" si="16"/>
        <v>4.504825309037258</v>
      </c>
    </row>
    <row r="233" spans="1:11" ht="15.75" hidden="1">
      <c r="A233" s="44">
        <v>8</v>
      </c>
      <c r="B233" s="27">
        <v>102327410</v>
      </c>
      <c r="C233" s="19">
        <f t="shared" si="13"/>
        <v>1.9491683903549557</v>
      </c>
      <c r="D233" s="56">
        <v>29514575</v>
      </c>
      <c r="E233" s="27">
        <v>269260130</v>
      </c>
      <c r="F233" s="28">
        <f t="shared" si="19"/>
        <v>298774705</v>
      </c>
      <c r="G233" s="19">
        <f t="shared" si="20"/>
        <v>5.2338569642322454</v>
      </c>
      <c r="H233" s="27">
        <v>60679800</v>
      </c>
      <c r="I233" s="19">
        <f t="shared" si="21"/>
        <v>0.0019084144961709626</v>
      </c>
      <c r="J233" s="28">
        <v>461781915</v>
      </c>
      <c r="K233" s="19">
        <f t="shared" si="16"/>
        <v>3.7794604412756883</v>
      </c>
    </row>
    <row r="234" spans="1:11" ht="15.75" hidden="1">
      <c r="A234" s="44">
        <v>9</v>
      </c>
      <c r="B234" s="27">
        <v>109385362</v>
      </c>
      <c r="C234" s="19">
        <f t="shared" si="13"/>
        <v>11.679680315688628</v>
      </c>
      <c r="D234" s="56">
        <v>31029843</v>
      </c>
      <c r="E234" s="27">
        <v>271817178</v>
      </c>
      <c r="F234" s="28">
        <f t="shared" si="19"/>
        <v>302847021</v>
      </c>
      <c r="G234" s="19">
        <f t="shared" si="20"/>
        <v>8.060671798877706</v>
      </c>
      <c r="H234" s="27">
        <v>60084507</v>
      </c>
      <c r="I234" s="19">
        <f t="shared" si="21"/>
        <v>1.299734219416976</v>
      </c>
      <c r="J234" s="28">
        <v>472316890</v>
      </c>
      <c r="K234" s="19">
        <f t="shared" si="16"/>
        <v>7.9542769576755035</v>
      </c>
    </row>
    <row r="235" spans="1:11" ht="15.75" hidden="1">
      <c r="A235" s="44">
        <v>10</v>
      </c>
      <c r="B235" s="27">
        <v>112990455</v>
      </c>
      <c r="C235" s="19">
        <f t="shared" si="13"/>
        <v>15.755332466283377</v>
      </c>
      <c r="D235" s="56">
        <v>31267169</v>
      </c>
      <c r="E235" s="27">
        <v>274006447</v>
      </c>
      <c r="F235" s="28">
        <f t="shared" si="19"/>
        <v>305273616</v>
      </c>
      <c r="G235" s="19">
        <f t="shared" si="20"/>
        <v>9.388190536799158</v>
      </c>
      <c r="H235" s="27">
        <v>58511226</v>
      </c>
      <c r="I235" s="19">
        <f t="shared" si="21"/>
        <v>6.881030461332216</v>
      </c>
      <c r="J235" s="28">
        <v>476775297</v>
      </c>
      <c r="K235" s="19">
        <f t="shared" si="16"/>
        <v>10.51062997442682</v>
      </c>
    </row>
    <row r="236" spans="1:11" ht="15.75" hidden="1">
      <c r="A236" s="44">
        <v>11</v>
      </c>
      <c r="B236" s="27">
        <v>109455118</v>
      </c>
      <c r="C236" s="19">
        <f t="shared" si="13"/>
        <v>12.617358236783332</v>
      </c>
      <c r="D236" s="56">
        <v>29807232</v>
      </c>
      <c r="E236" s="27">
        <v>274997163</v>
      </c>
      <c r="F236" s="28">
        <f t="shared" si="19"/>
        <v>304804395</v>
      </c>
      <c r="G236" s="19">
        <f t="shared" si="20"/>
        <v>8.31668266719332</v>
      </c>
      <c r="H236" s="27">
        <v>68086882</v>
      </c>
      <c r="I236" s="19">
        <f t="shared" si="21"/>
        <v>23.92422828517944</v>
      </c>
      <c r="J236" s="28">
        <v>482346395</v>
      </c>
      <c r="K236" s="19">
        <f t="shared" si="16"/>
        <v>11.258786684234835</v>
      </c>
    </row>
    <row r="237" spans="1:11" ht="15.75" hidden="1">
      <c r="A237" s="44">
        <v>12</v>
      </c>
      <c r="B237" s="27">
        <v>126627929</v>
      </c>
      <c r="C237" s="19">
        <f t="shared" si="13"/>
        <v>26.369591643802565</v>
      </c>
      <c r="D237" s="67">
        <v>31216978</v>
      </c>
      <c r="E237" s="27">
        <v>275623009</v>
      </c>
      <c r="F237" s="22">
        <f t="shared" si="19"/>
        <v>306839987</v>
      </c>
      <c r="G237" s="19">
        <f t="shared" si="20"/>
        <v>8.916853578961323</v>
      </c>
      <c r="H237" s="18">
        <v>65591997</v>
      </c>
      <c r="I237" s="19">
        <f t="shared" si="21"/>
        <v>11.033935179654605</v>
      </c>
      <c r="J237" s="28">
        <v>499059913</v>
      </c>
      <c r="K237" s="19">
        <f t="shared" si="16"/>
        <v>13.166094892374417</v>
      </c>
    </row>
    <row r="238" spans="1:11" ht="15.75" hidden="1">
      <c r="A238" s="52" t="s">
        <v>96</v>
      </c>
      <c r="B238" s="25">
        <v>124472822</v>
      </c>
      <c r="C238" s="24">
        <f t="shared" si="13"/>
        <v>27.11631639053647</v>
      </c>
      <c r="D238" s="59">
        <v>31135013</v>
      </c>
      <c r="E238" s="25">
        <v>276804848</v>
      </c>
      <c r="F238" s="31">
        <f t="shared" si="19"/>
        <v>307939861</v>
      </c>
      <c r="G238" s="24">
        <f t="shared" si="20"/>
        <v>9.386300059871218</v>
      </c>
      <c r="H238" s="25">
        <v>66392885</v>
      </c>
      <c r="I238" s="24">
        <f t="shared" si="21"/>
        <v>9.09303068778975</v>
      </c>
      <c r="J238" s="31">
        <v>498805568</v>
      </c>
      <c r="K238" s="24">
        <f t="shared" si="16"/>
        <v>13.288868251729369</v>
      </c>
    </row>
    <row r="239" spans="1:11" ht="15.75" hidden="1">
      <c r="A239" s="44">
        <v>2</v>
      </c>
      <c r="B239" s="27">
        <v>125216249</v>
      </c>
      <c r="C239" s="19">
        <f t="shared" si="13"/>
        <v>28.489209666614272</v>
      </c>
      <c r="D239" s="56">
        <v>31314080</v>
      </c>
      <c r="E239" s="27">
        <v>277793848</v>
      </c>
      <c r="F239" s="28">
        <f t="shared" si="19"/>
        <v>309107928</v>
      </c>
      <c r="G239" s="19">
        <f t="shared" si="20"/>
        <v>9.29317995696519</v>
      </c>
      <c r="H239" s="27">
        <v>66754676</v>
      </c>
      <c r="I239" s="19">
        <f t="shared" si="21"/>
        <v>21.072929550357372</v>
      </c>
      <c r="J239" s="28">
        <v>501078853</v>
      </c>
      <c r="K239" s="19">
        <f t="shared" si="16"/>
        <v>15.081229096062842</v>
      </c>
    </row>
    <row r="240" spans="1:11" ht="15.75" hidden="1">
      <c r="A240" s="44">
        <v>3</v>
      </c>
      <c r="B240" s="27">
        <v>124684348</v>
      </c>
      <c r="C240" s="19">
        <f t="shared" si="13"/>
        <v>25.95937301291697</v>
      </c>
      <c r="D240" s="56">
        <v>32928313</v>
      </c>
      <c r="E240" s="27">
        <v>283088644</v>
      </c>
      <c r="F240" s="28">
        <f t="shared" si="19"/>
        <v>316016957</v>
      </c>
      <c r="G240" s="19">
        <f t="shared" si="20"/>
        <v>11.162361205981469</v>
      </c>
      <c r="H240" s="27">
        <v>69497361</v>
      </c>
      <c r="I240" s="19">
        <f t="shared" si="21"/>
        <v>23.099366162978654</v>
      </c>
      <c r="J240" s="28">
        <v>510198666</v>
      </c>
      <c r="K240" s="19">
        <f t="shared" si="16"/>
        <v>16.02591596383762</v>
      </c>
    </row>
    <row r="241" spans="1:11" ht="15.75" hidden="1">
      <c r="A241" s="44">
        <v>4</v>
      </c>
      <c r="B241" s="27">
        <v>128225203</v>
      </c>
      <c r="C241" s="19">
        <f t="shared" si="13"/>
        <v>29.153545771652063</v>
      </c>
      <c r="D241" s="56">
        <v>33281568</v>
      </c>
      <c r="E241" s="27">
        <v>281627721</v>
      </c>
      <c r="F241" s="28">
        <f t="shared" si="19"/>
        <v>314909289</v>
      </c>
      <c r="G241" s="19">
        <f t="shared" si="20"/>
        <v>9.979917190813154</v>
      </c>
      <c r="H241" s="27">
        <v>76034976</v>
      </c>
      <c r="I241" s="19">
        <f t="shared" si="21"/>
        <v>29.40073866767591</v>
      </c>
      <c r="J241" s="28">
        <v>519169468</v>
      </c>
      <c r="K241" s="19">
        <f t="shared" si="16"/>
        <v>16.831657581090866</v>
      </c>
    </row>
    <row r="242" spans="1:11" ht="15.75" hidden="1">
      <c r="A242" s="44">
        <v>5</v>
      </c>
      <c r="B242" s="27">
        <v>136510928</v>
      </c>
      <c r="C242" s="19">
        <f t="shared" si="13"/>
        <v>37.70056865378771</v>
      </c>
      <c r="D242" s="56">
        <v>35756270</v>
      </c>
      <c r="E242" s="27">
        <v>285630168</v>
      </c>
      <c r="F242" s="28">
        <f t="shared" si="19"/>
        <v>321386438</v>
      </c>
      <c r="G242" s="19">
        <f t="shared" si="20"/>
        <v>10.801966173186955</v>
      </c>
      <c r="H242" s="27">
        <v>76470758</v>
      </c>
      <c r="I242" s="19">
        <f t="shared" si="21"/>
        <v>41.51613970300781</v>
      </c>
      <c r="J242" s="28">
        <v>534368124</v>
      </c>
      <c r="K242" s="19">
        <f t="shared" si="16"/>
        <v>20.562901606115247</v>
      </c>
    </row>
    <row r="243" spans="1:11" ht="15.75" hidden="1">
      <c r="A243" s="44">
        <v>6</v>
      </c>
      <c r="B243" s="27">
        <v>139967535</v>
      </c>
      <c r="C243" s="19">
        <f t="shared" si="13"/>
        <v>39.90238106211558</v>
      </c>
      <c r="D243" s="56">
        <v>39040907</v>
      </c>
      <c r="E243" s="27">
        <v>292017232</v>
      </c>
      <c r="F243" s="28">
        <f t="shared" si="19"/>
        <v>331058139</v>
      </c>
      <c r="G243" s="19">
        <f t="shared" si="20"/>
        <v>13.21940996788318</v>
      </c>
      <c r="H243" s="27">
        <v>73508130</v>
      </c>
      <c r="I243" s="19">
        <f t="shared" si="21"/>
        <v>24.755150544992418</v>
      </c>
      <c r="J243" s="28">
        <v>544533804</v>
      </c>
      <c r="K243" s="19">
        <f t="shared" si="16"/>
        <v>20.639550647010992</v>
      </c>
    </row>
    <row r="244" spans="1:11" ht="15.75" hidden="1">
      <c r="A244" s="44">
        <v>7</v>
      </c>
      <c r="B244" s="27">
        <v>143342121</v>
      </c>
      <c r="C244" s="19">
        <f t="shared" si="13"/>
        <v>35.13622253708499</v>
      </c>
      <c r="D244" s="56">
        <v>39608628</v>
      </c>
      <c r="E244" s="27">
        <v>295349017</v>
      </c>
      <c r="F244" s="28">
        <f t="shared" si="19"/>
        <v>334957645</v>
      </c>
      <c r="G244" s="19">
        <f t="shared" si="20"/>
        <v>13.171581818658893</v>
      </c>
      <c r="H244" s="27">
        <v>70662962</v>
      </c>
      <c r="I244" s="19">
        <f t="shared" si="21"/>
        <v>24.790219145644542</v>
      </c>
      <c r="J244" s="28">
        <v>548962728</v>
      </c>
      <c r="K244" s="19">
        <f>J244/J232*100-100</f>
        <v>19.685510790273455</v>
      </c>
    </row>
    <row r="245" spans="1:11" ht="15.75" hidden="1">
      <c r="A245" s="44">
        <v>8</v>
      </c>
      <c r="B245" s="27">
        <v>139585181</v>
      </c>
      <c r="C245" s="19">
        <f t="shared" si="13"/>
        <v>36.410352807717885</v>
      </c>
      <c r="D245" s="56">
        <v>40281523</v>
      </c>
      <c r="E245" s="27">
        <v>294804974</v>
      </c>
      <c r="F245" s="28">
        <f t="shared" si="19"/>
        <v>335086497</v>
      </c>
      <c r="G245" s="19">
        <f t="shared" si="20"/>
        <v>12.153569693927068</v>
      </c>
      <c r="H245" s="27">
        <v>72390415</v>
      </c>
      <c r="I245" s="19">
        <f t="shared" si="21"/>
        <v>19.299033615799658</v>
      </c>
      <c r="J245" s="28">
        <v>547062093</v>
      </c>
      <c r="K245" s="19">
        <f t="shared" si="16"/>
        <v>18.467630548069437</v>
      </c>
    </row>
    <row r="246" spans="1:11" ht="15.75" hidden="1">
      <c r="A246" s="44">
        <v>9</v>
      </c>
      <c r="B246" s="27">
        <v>144887995</v>
      </c>
      <c r="C246" s="19">
        <f t="shared" si="13"/>
        <v>32.45647530059827</v>
      </c>
      <c r="D246" s="56">
        <v>40912678</v>
      </c>
      <c r="E246" s="27">
        <v>299943018</v>
      </c>
      <c r="F246" s="28">
        <f t="shared" si="19"/>
        <v>340855696</v>
      </c>
      <c r="G246" s="19">
        <f t="shared" si="20"/>
        <v>12.550453649666252</v>
      </c>
      <c r="H246" s="27">
        <v>78883032</v>
      </c>
      <c r="I246" s="19">
        <f t="shared" si="21"/>
        <v>31.286809093731932</v>
      </c>
      <c r="J246" s="28">
        <v>564626723</v>
      </c>
      <c r="K246" s="19">
        <f t="shared" si="16"/>
        <v>19.544046582793186</v>
      </c>
    </row>
    <row r="247" spans="1:11" ht="15.75" hidden="1">
      <c r="A247" s="44">
        <v>10</v>
      </c>
      <c r="B247" s="27">
        <v>143503229</v>
      </c>
      <c r="C247" s="19">
        <f t="shared" si="13"/>
        <v>27.00473593101293</v>
      </c>
      <c r="D247" s="56">
        <v>40183527</v>
      </c>
      <c r="E247" s="27">
        <v>302925498</v>
      </c>
      <c r="F247" s="28">
        <f t="shared" si="19"/>
        <v>343109025</v>
      </c>
      <c r="G247" s="19">
        <f t="shared" si="20"/>
        <v>12.393933513075027</v>
      </c>
      <c r="H247" s="27">
        <v>73645807</v>
      </c>
      <c r="I247" s="19">
        <f t="shared" si="21"/>
        <v>25.86611499133518</v>
      </c>
      <c r="J247" s="28">
        <v>560258061</v>
      </c>
      <c r="K247" s="19">
        <f t="shared" si="16"/>
        <v>17.509876146120888</v>
      </c>
    </row>
    <row r="248" spans="1:11" ht="15.75" hidden="1">
      <c r="A248" s="44">
        <v>11</v>
      </c>
      <c r="B248" s="27">
        <v>145958589</v>
      </c>
      <c r="C248" s="19">
        <f t="shared" si="13"/>
        <v>33.35017280781699</v>
      </c>
      <c r="D248" s="56">
        <v>40160275</v>
      </c>
      <c r="E248" s="27">
        <v>302027432</v>
      </c>
      <c r="F248" s="28">
        <f t="shared" si="19"/>
        <v>342187707</v>
      </c>
      <c r="G248" s="19">
        <f t="shared" si="20"/>
        <v>12.264689293604178</v>
      </c>
      <c r="H248" s="27">
        <v>74880778</v>
      </c>
      <c r="I248" s="19">
        <f t="shared" si="21"/>
        <v>9.978274522836855</v>
      </c>
      <c r="J248" s="28">
        <v>563027074</v>
      </c>
      <c r="K248" s="19">
        <f t="shared" si="16"/>
        <v>16.726709235589922</v>
      </c>
    </row>
    <row r="249" spans="1:11" ht="15.75" hidden="1">
      <c r="A249" s="44">
        <v>12</v>
      </c>
      <c r="B249" s="27">
        <v>156191646</v>
      </c>
      <c r="C249" s="19">
        <f t="shared" si="13"/>
        <v>23.34691661900274</v>
      </c>
      <c r="D249" s="67">
        <v>41904493</v>
      </c>
      <c r="E249" s="27">
        <v>304067676</v>
      </c>
      <c r="F249" s="22">
        <f t="shared" si="19"/>
        <v>345972169</v>
      </c>
      <c r="G249" s="19">
        <f t="shared" si="20"/>
        <v>12.753286291854792</v>
      </c>
      <c r="H249" s="18">
        <v>82554233</v>
      </c>
      <c r="I249" s="19">
        <f t="shared" si="21"/>
        <v>25.86022194140544</v>
      </c>
      <c r="J249" s="28">
        <v>584718048</v>
      </c>
      <c r="K249" s="19">
        <f t="shared" si="16"/>
        <v>17.16389811497443</v>
      </c>
    </row>
    <row r="250" spans="1:11" ht="15.75" hidden="1">
      <c r="A250" s="52" t="s">
        <v>97</v>
      </c>
      <c r="B250" s="25">
        <v>140715353</v>
      </c>
      <c r="C250" s="24">
        <f t="shared" si="13"/>
        <v>13.04905821127764</v>
      </c>
      <c r="D250" s="59">
        <v>43021829</v>
      </c>
      <c r="E250" s="25">
        <v>304556313</v>
      </c>
      <c r="F250" s="31">
        <f t="shared" si="19"/>
        <v>347578142</v>
      </c>
      <c r="G250" s="24">
        <f t="shared" si="20"/>
        <v>12.87208511144972</v>
      </c>
      <c r="H250" s="25">
        <v>81520114</v>
      </c>
      <c r="I250" s="24">
        <f t="shared" si="21"/>
        <v>22.784412817728892</v>
      </c>
      <c r="J250" s="31">
        <v>569813609</v>
      </c>
      <c r="K250" s="24">
        <f t="shared" si="16"/>
        <v>14.235615148546216</v>
      </c>
    </row>
    <row r="251" spans="1:11" ht="15.75" hidden="1">
      <c r="A251" s="44">
        <v>2</v>
      </c>
      <c r="B251" s="27">
        <v>132985645</v>
      </c>
      <c r="C251" s="19">
        <f t="shared" si="13"/>
        <v>6.204782575782161</v>
      </c>
      <c r="D251" s="56">
        <v>43397919</v>
      </c>
      <c r="E251" s="27">
        <v>306078814</v>
      </c>
      <c r="F251" s="28">
        <f t="shared" si="19"/>
        <v>349476733</v>
      </c>
      <c r="G251" s="19">
        <f t="shared" si="20"/>
        <v>13.059776648627405</v>
      </c>
      <c r="H251" s="27">
        <v>82226564</v>
      </c>
      <c r="I251" s="19">
        <f t="shared" si="21"/>
        <v>23.17723480524421</v>
      </c>
      <c r="J251" s="28">
        <v>564688942</v>
      </c>
      <c r="K251" s="19">
        <f t="shared" si="16"/>
        <v>12.694626528172392</v>
      </c>
    </row>
    <row r="252" spans="1:11" ht="15.75" hidden="1">
      <c r="A252" s="44">
        <v>3</v>
      </c>
      <c r="B252" s="27">
        <v>138313681</v>
      </c>
      <c r="C252" s="19">
        <f aca="true" t="shared" si="22" ref="C252:C316">B252/B240*100-100</f>
        <v>10.931069712134203</v>
      </c>
      <c r="D252" s="56">
        <v>43466134</v>
      </c>
      <c r="E252" s="27">
        <v>307781940</v>
      </c>
      <c r="F252" s="28">
        <f t="shared" si="19"/>
        <v>351248074</v>
      </c>
      <c r="G252" s="19">
        <f t="shared" si="20"/>
        <v>11.148489414762636</v>
      </c>
      <c r="H252" s="27">
        <v>72583083</v>
      </c>
      <c r="I252" s="19">
        <f t="shared" si="21"/>
        <v>4.440056364154614</v>
      </c>
      <c r="J252" s="28">
        <v>562144838</v>
      </c>
      <c r="K252" s="19">
        <f aca="true" t="shared" si="23" ref="K252:K316">J252/J240*100-100</f>
        <v>10.181557785570533</v>
      </c>
    </row>
    <row r="253" spans="1:11" ht="15.75" hidden="1">
      <c r="A253" s="44">
        <v>4</v>
      </c>
      <c r="B253" s="27">
        <v>134887898</v>
      </c>
      <c r="C253" s="19">
        <f t="shared" si="22"/>
        <v>5.1960884787992825</v>
      </c>
      <c r="D253" s="56">
        <v>44595896</v>
      </c>
      <c r="E253" s="27">
        <v>310860843</v>
      </c>
      <c r="F253" s="28">
        <f t="shared" si="19"/>
        <v>355456739</v>
      </c>
      <c r="G253" s="19">
        <f t="shared" si="20"/>
        <v>12.875914244625534</v>
      </c>
      <c r="H253" s="27">
        <v>73723645</v>
      </c>
      <c r="I253" s="19">
        <f t="shared" si="21"/>
        <v>-3.0398260400581876</v>
      </c>
      <c r="J253" s="28">
        <v>564068282</v>
      </c>
      <c r="K253" s="19">
        <f t="shared" si="23"/>
        <v>8.648200013179519</v>
      </c>
    </row>
    <row r="254" spans="1:11" ht="15.75" hidden="1">
      <c r="A254" s="44">
        <v>5</v>
      </c>
      <c r="B254" s="27">
        <v>133944303</v>
      </c>
      <c r="C254" s="19">
        <f t="shared" si="22"/>
        <v>-1.8801608322522014</v>
      </c>
      <c r="D254" s="56">
        <v>43936459</v>
      </c>
      <c r="E254" s="27">
        <v>313194475</v>
      </c>
      <c r="F254" s="28">
        <f t="shared" si="19"/>
        <v>357130934</v>
      </c>
      <c r="G254" s="19">
        <f t="shared" si="20"/>
        <v>11.121967753972257</v>
      </c>
      <c r="H254" s="27">
        <v>74116630</v>
      </c>
      <c r="I254" s="19">
        <f t="shared" si="21"/>
        <v>-3.0784682427235737</v>
      </c>
      <c r="J254" s="28">
        <v>565191867</v>
      </c>
      <c r="K254" s="19">
        <f t="shared" si="23"/>
        <v>5.768260046888571</v>
      </c>
    </row>
    <row r="255" spans="1:11" ht="15.75" hidden="1">
      <c r="A255" s="44">
        <v>6</v>
      </c>
      <c r="B255" s="27">
        <v>148712366</v>
      </c>
      <c r="C255" s="19">
        <f t="shared" si="22"/>
        <v>6.247756667287163</v>
      </c>
      <c r="D255" s="56">
        <v>45856379</v>
      </c>
      <c r="E255" s="27">
        <v>321647209</v>
      </c>
      <c r="F255" s="28">
        <f t="shared" si="19"/>
        <v>367503588</v>
      </c>
      <c r="G255" s="19">
        <f t="shared" si="20"/>
        <v>11.008776014414792</v>
      </c>
      <c r="H255" s="27">
        <v>80454632</v>
      </c>
      <c r="I255" s="19">
        <f t="shared" si="21"/>
        <v>9.449977845987917</v>
      </c>
      <c r="J255" s="28">
        <v>596670586</v>
      </c>
      <c r="K255" s="19">
        <f t="shared" si="23"/>
        <v>9.574572160078418</v>
      </c>
    </row>
    <row r="256" spans="1:11" ht="15.75" hidden="1">
      <c r="A256" s="44">
        <v>7</v>
      </c>
      <c r="B256" s="27">
        <v>147906007</v>
      </c>
      <c r="C256" s="19">
        <f t="shared" si="22"/>
        <v>3.183911308246934</v>
      </c>
      <c r="D256" s="56">
        <v>52575383</v>
      </c>
      <c r="E256" s="27">
        <v>325130896</v>
      </c>
      <c r="F256" s="28">
        <f t="shared" si="19"/>
        <v>377706279</v>
      </c>
      <c r="G256" s="19">
        <f t="shared" si="20"/>
        <v>12.76239985506227</v>
      </c>
      <c r="H256" s="27">
        <v>72917961</v>
      </c>
      <c r="I256" s="19">
        <f t="shared" si="21"/>
        <v>3.1912036180991095</v>
      </c>
      <c r="J256" s="28">
        <v>598530247</v>
      </c>
      <c r="K256" s="19">
        <f t="shared" si="23"/>
        <v>9.029304991358174</v>
      </c>
    </row>
    <row r="257" spans="1:11" ht="15.75" hidden="1">
      <c r="A257" s="44">
        <v>8</v>
      </c>
      <c r="B257" s="27">
        <v>140462079</v>
      </c>
      <c r="C257" s="19">
        <f t="shared" si="22"/>
        <v>0.6282171171164634</v>
      </c>
      <c r="D257" s="56">
        <v>48794070</v>
      </c>
      <c r="E257" s="27">
        <v>324765824</v>
      </c>
      <c r="F257" s="28">
        <f t="shared" si="19"/>
        <v>373559894</v>
      </c>
      <c r="G257" s="19">
        <f t="shared" si="20"/>
        <v>11.481631562133643</v>
      </c>
      <c r="H257" s="27">
        <v>77354957</v>
      </c>
      <c r="I257" s="19">
        <f t="shared" si="21"/>
        <v>6.8580101384969225</v>
      </c>
      <c r="J257" s="28">
        <v>591376930</v>
      </c>
      <c r="K257" s="19">
        <f t="shared" si="23"/>
        <v>8.100513189825406</v>
      </c>
    </row>
    <row r="258" spans="1:11" ht="15.75" hidden="1">
      <c r="A258" s="44">
        <v>9</v>
      </c>
      <c r="B258" s="27">
        <v>152968239</v>
      </c>
      <c r="C258" s="19">
        <f t="shared" si="22"/>
        <v>5.576889927975046</v>
      </c>
      <c r="D258" s="56">
        <v>49482889</v>
      </c>
      <c r="E258" s="27">
        <v>326935685</v>
      </c>
      <c r="F258" s="28">
        <f aca="true" t="shared" si="24" ref="F258:F285">E258+D258</f>
        <v>376418574</v>
      </c>
      <c r="G258" s="19">
        <f t="shared" si="20"/>
        <v>10.433411680466676</v>
      </c>
      <c r="H258" s="27">
        <v>84412330</v>
      </c>
      <c r="I258" s="19">
        <f t="shared" si="21"/>
        <v>7.009489696085723</v>
      </c>
      <c r="J258" s="28">
        <v>613799143</v>
      </c>
      <c r="K258" s="19">
        <f t="shared" si="23"/>
        <v>8.70883682917713</v>
      </c>
    </row>
    <row r="259" spans="1:11" ht="15.75" hidden="1">
      <c r="A259" s="44">
        <v>10</v>
      </c>
      <c r="B259" s="27">
        <v>139732369</v>
      </c>
      <c r="C259" s="19">
        <f t="shared" si="22"/>
        <v>-2.62771787525422</v>
      </c>
      <c r="D259" s="56">
        <v>47199538</v>
      </c>
      <c r="E259" s="27">
        <v>324888061</v>
      </c>
      <c r="F259" s="28">
        <f t="shared" si="24"/>
        <v>372087599</v>
      </c>
      <c r="G259" s="19">
        <f t="shared" si="20"/>
        <v>8.445879265344303</v>
      </c>
      <c r="H259" s="27">
        <v>83629613</v>
      </c>
      <c r="I259" s="19">
        <f t="shared" si="21"/>
        <v>13.556516530533784</v>
      </c>
      <c r="J259" s="28">
        <v>595449581</v>
      </c>
      <c r="K259" s="19">
        <f t="shared" si="23"/>
        <v>6.281305428642469</v>
      </c>
    </row>
    <row r="260" spans="1:11" ht="15.75" hidden="1">
      <c r="A260" s="44">
        <v>11</v>
      </c>
      <c r="B260" s="27">
        <v>146823519</v>
      </c>
      <c r="C260" s="19">
        <f t="shared" si="22"/>
        <v>0.5925858874944225</v>
      </c>
      <c r="D260" s="56">
        <v>47181466</v>
      </c>
      <c r="E260" s="27">
        <v>328521468</v>
      </c>
      <c r="F260" s="28">
        <f t="shared" si="24"/>
        <v>375702934</v>
      </c>
      <c r="G260" s="19">
        <f t="shared" si="20"/>
        <v>9.794398312502793</v>
      </c>
      <c r="H260" s="27">
        <v>77620722</v>
      </c>
      <c r="I260" s="19">
        <f t="shared" si="21"/>
        <v>3.6590752302279697</v>
      </c>
      <c r="J260" s="28">
        <v>600147175</v>
      </c>
      <c r="K260" s="19">
        <f t="shared" si="23"/>
        <v>6.592951336475167</v>
      </c>
    </row>
    <row r="261" spans="1:11" ht="15.75" hidden="1">
      <c r="A261" s="44">
        <v>12</v>
      </c>
      <c r="B261" s="27">
        <v>169826047</v>
      </c>
      <c r="C261" s="19">
        <f t="shared" si="22"/>
        <v>8.729276724569516</v>
      </c>
      <c r="D261" s="67">
        <v>51034380</v>
      </c>
      <c r="E261" s="27">
        <v>338723733</v>
      </c>
      <c r="F261" s="22">
        <f t="shared" si="24"/>
        <v>389758113</v>
      </c>
      <c r="G261" s="19">
        <f t="shared" si="20"/>
        <v>12.655915106281284</v>
      </c>
      <c r="H261" s="18">
        <v>87301401</v>
      </c>
      <c r="I261" s="19">
        <f t="shared" si="21"/>
        <v>5.7503629159754865</v>
      </c>
      <c r="J261" s="28">
        <v>646885561</v>
      </c>
      <c r="K261" s="19">
        <f t="shared" si="23"/>
        <v>10.632049619922128</v>
      </c>
    </row>
    <row r="262" spans="1:11" ht="15.75" hidden="1">
      <c r="A262" s="52" t="s">
        <v>98</v>
      </c>
      <c r="B262" s="25">
        <v>156272579</v>
      </c>
      <c r="C262" s="24">
        <f t="shared" si="22"/>
        <v>11.055812793931594</v>
      </c>
      <c r="D262" s="59">
        <v>52387731</v>
      </c>
      <c r="E262" s="25">
        <v>345119025</v>
      </c>
      <c r="F262" s="31">
        <f t="shared" si="24"/>
        <v>397506756</v>
      </c>
      <c r="G262" s="24">
        <f t="shared" si="20"/>
        <v>14.36471629450162</v>
      </c>
      <c r="H262" s="25">
        <v>83658200</v>
      </c>
      <c r="I262" s="24">
        <f t="shared" si="21"/>
        <v>2.62277111143392</v>
      </c>
      <c r="J262" s="31">
        <v>637437535</v>
      </c>
      <c r="K262" s="24">
        <f t="shared" si="23"/>
        <v>11.867727434358272</v>
      </c>
    </row>
    <row r="263" spans="1:11" ht="15.75" hidden="1">
      <c r="A263" s="44">
        <v>2</v>
      </c>
      <c r="B263" s="27">
        <v>157770088</v>
      </c>
      <c r="C263" s="19">
        <f t="shared" si="22"/>
        <v>18.636931076282707</v>
      </c>
      <c r="D263" s="56">
        <v>56354800</v>
      </c>
      <c r="E263" s="27">
        <v>346098064</v>
      </c>
      <c r="F263" s="28">
        <f t="shared" si="24"/>
        <v>402452864</v>
      </c>
      <c r="G263" s="19">
        <f t="shared" si="20"/>
        <v>15.158700421982019</v>
      </c>
      <c r="H263" s="27">
        <v>92221441</v>
      </c>
      <c r="I263" s="19">
        <f t="shared" si="21"/>
        <v>12.155289621490198</v>
      </c>
      <c r="J263" s="28">
        <v>652444393</v>
      </c>
      <c r="K263" s="19">
        <f t="shared" si="23"/>
        <v>15.540493973405972</v>
      </c>
    </row>
    <row r="264" spans="1:11" ht="15.75" hidden="1">
      <c r="A264" s="44">
        <v>3</v>
      </c>
      <c r="B264" s="27">
        <v>163497486</v>
      </c>
      <c r="C264" s="19">
        <f t="shared" si="22"/>
        <v>18.207746925627703</v>
      </c>
      <c r="D264" s="56">
        <v>55855314</v>
      </c>
      <c r="E264" s="27">
        <v>346156513</v>
      </c>
      <c r="F264" s="28">
        <f t="shared" si="24"/>
        <v>402011827</v>
      </c>
      <c r="G264" s="19">
        <f t="shared" si="20"/>
        <v>14.45239326778487</v>
      </c>
      <c r="H264" s="27">
        <v>88061770</v>
      </c>
      <c r="I264" s="19">
        <f t="shared" si="21"/>
        <v>21.325474697733625</v>
      </c>
      <c r="J264" s="28">
        <v>653571083</v>
      </c>
      <c r="K264" s="19">
        <f t="shared" si="23"/>
        <v>16.263823630450204</v>
      </c>
    </row>
    <row r="265" spans="1:11" ht="15.75" hidden="1">
      <c r="A265" s="44">
        <v>4</v>
      </c>
      <c r="B265" s="27">
        <v>164541533</v>
      </c>
      <c r="C265" s="19">
        <f t="shared" si="22"/>
        <v>21.98391066928778</v>
      </c>
      <c r="D265" s="56">
        <v>59917470</v>
      </c>
      <c r="E265" s="27">
        <v>350854864</v>
      </c>
      <c r="F265" s="28">
        <f t="shared" si="24"/>
        <v>410772334</v>
      </c>
      <c r="G265" s="19">
        <f t="shared" si="20"/>
        <v>15.561836063544149</v>
      </c>
      <c r="H265" s="27">
        <v>84911637</v>
      </c>
      <c r="I265" s="19">
        <f t="shared" si="21"/>
        <v>15.175581728223023</v>
      </c>
      <c r="J265" s="28">
        <v>660225504</v>
      </c>
      <c r="K265" s="19">
        <f t="shared" si="23"/>
        <v>17.047088990548858</v>
      </c>
    </row>
    <row r="266" spans="1:11" ht="15.75" hidden="1">
      <c r="A266" s="44">
        <v>5</v>
      </c>
      <c r="B266" s="27">
        <v>156583698</v>
      </c>
      <c r="C266" s="19">
        <f t="shared" si="22"/>
        <v>16.902096239210707</v>
      </c>
      <c r="D266" s="56">
        <v>57968291</v>
      </c>
      <c r="E266" s="27">
        <v>344900093</v>
      </c>
      <c r="F266" s="28">
        <f t="shared" si="24"/>
        <v>402868384</v>
      </c>
      <c r="G266" s="19">
        <f t="shared" si="20"/>
        <v>12.806913556247707</v>
      </c>
      <c r="H266" s="27">
        <v>85705857</v>
      </c>
      <c r="I266" s="19">
        <f t="shared" si="21"/>
        <v>15.63647321795392</v>
      </c>
      <c r="J266" s="28">
        <v>645157939</v>
      </c>
      <c r="K266" s="19">
        <f t="shared" si="23"/>
        <v>14.148482430303616</v>
      </c>
    </row>
    <row r="267" spans="1:11" ht="15.75" hidden="1">
      <c r="A267" s="44">
        <v>6</v>
      </c>
      <c r="B267" s="27">
        <v>159539563</v>
      </c>
      <c r="C267" s="19">
        <f t="shared" si="22"/>
        <v>7.280629910763437</v>
      </c>
      <c r="D267" s="56">
        <v>57908574</v>
      </c>
      <c r="E267" s="27">
        <v>345624485</v>
      </c>
      <c r="F267" s="28">
        <f t="shared" si="24"/>
        <v>403533059</v>
      </c>
      <c r="G267" s="19">
        <f t="shared" si="20"/>
        <v>9.803841969564658</v>
      </c>
      <c r="H267" s="27">
        <v>93127955</v>
      </c>
      <c r="I267" s="19">
        <f t="shared" si="21"/>
        <v>15.752135936685406</v>
      </c>
      <c r="J267" s="28">
        <v>656200577</v>
      </c>
      <c r="K267" s="19">
        <f t="shared" si="23"/>
        <v>9.977027927433312</v>
      </c>
    </row>
    <row r="268" spans="1:11" ht="15.75" hidden="1">
      <c r="A268" s="44">
        <v>7</v>
      </c>
      <c r="B268" s="27">
        <v>160871676</v>
      </c>
      <c r="C268" s="19">
        <f t="shared" si="22"/>
        <v>8.766154440231759</v>
      </c>
      <c r="D268" s="56">
        <v>59995707</v>
      </c>
      <c r="E268" s="27">
        <v>349542100</v>
      </c>
      <c r="F268" s="28">
        <f t="shared" si="24"/>
        <v>409537807</v>
      </c>
      <c r="G268" s="19">
        <f t="shared" si="20"/>
        <v>8.427587723528433</v>
      </c>
      <c r="H268" s="27">
        <v>105626037</v>
      </c>
      <c r="I268" s="19">
        <f t="shared" si="21"/>
        <v>44.85599371052078</v>
      </c>
      <c r="J268" s="28">
        <v>676035520</v>
      </c>
      <c r="K268" s="19">
        <f t="shared" si="23"/>
        <v>12.949265870601863</v>
      </c>
    </row>
    <row r="269" spans="1:11" ht="15.75" hidden="1">
      <c r="A269" s="44">
        <v>8</v>
      </c>
      <c r="B269" s="27">
        <v>161468690</v>
      </c>
      <c r="C269" s="19">
        <f t="shared" si="22"/>
        <v>14.955361012419587</v>
      </c>
      <c r="D269" s="56">
        <v>62101624</v>
      </c>
      <c r="E269" s="27">
        <v>353640476</v>
      </c>
      <c r="F269" s="28">
        <f t="shared" si="24"/>
        <v>415742100</v>
      </c>
      <c r="G269" s="19">
        <f t="shared" si="20"/>
        <v>11.291952556341613</v>
      </c>
      <c r="H269" s="27">
        <v>81052978</v>
      </c>
      <c r="I269" s="19">
        <f t="shared" si="21"/>
        <v>4.780586976475206</v>
      </c>
      <c r="J269" s="28">
        <v>658263768</v>
      </c>
      <c r="K269" s="19">
        <f t="shared" si="23"/>
        <v>11.310356323842385</v>
      </c>
    </row>
    <row r="270" spans="1:11" ht="15.75" hidden="1">
      <c r="A270" s="44">
        <v>9</v>
      </c>
      <c r="B270" s="27">
        <v>167654609</v>
      </c>
      <c r="C270" s="19">
        <f t="shared" si="22"/>
        <v>9.600927680157184</v>
      </c>
      <c r="D270" s="56">
        <v>66810891</v>
      </c>
      <c r="E270" s="27">
        <v>358474329</v>
      </c>
      <c r="F270" s="28">
        <f t="shared" si="24"/>
        <v>425285220</v>
      </c>
      <c r="G270" s="19">
        <f t="shared" si="20"/>
        <v>12.98199647289455</v>
      </c>
      <c r="H270" s="27">
        <v>79740920</v>
      </c>
      <c r="I270" s="19">
        <f t="shared" si="21"/>
        <v>-5.534037503762775</v>
      </c>
      <c r="J270" s="28">
        <v>672680749</v>
      </c>
      <c r="K270" s="19">
        <f t="shared" si="23"/>
        <v>9.592976248257813</v>
      </c>
    </row>
    <row r="271" spans="1:11" ht="15.75" hidden="1">
      <c r="A271" s="44">
        <v>10</v>
      </c>
      <c r="B271" s="27">
        <v>161309030</v>
      </c>
      <c r="C271" s="19">
        <f t="shared" si="22"/>
        <v>15.441419303497256</v>
      </c>
      <c r="D271" s="56">
        <v>60005081</v>
      </c>
      <c r="E271" s="27">
        <v>356071384</v>
      </c>
      <c r="F271" s="28">
        <f t="shared" si="24"/>
        <v>416076465</v>
      </c>
      <c r="G271" s="19">
        <f t="shared" si="20"/>
        <v>11.822180077546733</v>
      </c>
      <c r="H271" s="27">
        <v>84205607</v>
      </c>
      <c r="I271" s="19">
        <f t="shared" si="21"/>
        <v>0.6887440696395402</v>
      </c>
      <c r="J271" s="28">
        <v>661591102</v>
      </c>
      <c r="K271" s="19">
        <f t="shared" si="23"/>
        <v>11.10782895991322</v>
      </c>
    </row>
    <row r="272" spans="1:11" ht="15.75" hidden="1">
      <c r="A272" s="44">
        <v>11</v>
      </c>
      <c r="B272" s="27">
        <v>167558428</v>
      </c>
      <c r="C272" s="19">
        <f t="shared" si="22"/>
        <v>14.122334855630328</v>
      </c>
      <c r="D272" s="56">
        <v>61481344</v>
      </c>
      <c r="E272" s="27">
        <v>357991352</v>
      </c>
      <c r="F272" s="28">
        <f t="shared" si="24"/>
        <v>419472696</v>
      </c>
      <c r="G272" s="19">
        <f t="shared" si="20"/>
        <v>11.650098532368673</v>
      </c>
      <c r="H272" s="27">
        <v>91669166</v>
      </c>
      <c r="I272" s="19">
        <f t="shared" si="21"/>
        <v>18.098831907283724</v>
      </c>
      <c r="J272" s="28">
        <v>678700290</v>
      </c>
      <c r="K272" s="19">
        <f t="shared" si="23"/>
        <v>13.088975216787446</v>
      </c>
    </row>
    <row r="273" spans="1:11" ht="15.75" hidden="1">
      <c r="A273" s="53">
        <v>12</v>
      </c>
      <c r="B273" s="17">
        <v>180862841</v>
      </c>
      <c r="C273" s="16">
        <f t="shared" si="22"/>
        <v>6.49888176458586</v>
      </c>
      <c r="D273" s="67">
        <v>63115774</v>
      </c>
      <c r="E273" s="17">
        <v>363747281</v>
      </c>
      <c r="F273" s="22">
        <f t="shared" si="24"/>
        <v>426863055</v>
      </c>
      <c r="G273" s="16">
        <f t="shared" si="20"/>
        <v>9.519992211169196</v>
      </c>
      <c r="H273" s="75">
        <v>87334882</v>
      </c>
      <c r="I273" s="16">
        <f t="shared" si="21"/>
        <v>0.03835104547749779</v>
      </c>
      <c r="J273" s="22">
        <v>695060778</v>
      </c>
      <c r="K273" s="16">
        <f t="shared" si="23"/>
        <v>7.44725495581126</v>
      </c>
    </row>
    <row r="274" spans="1:11" ht="15.75" hidden="1">
      <c r="A274" s="52" t="s">
        <v>101</v>
      </c>
      <c r="B274" s="25">
        <v>174172210</v>
      </c>
      <c r="C274" s="24">
        <f t="shared" si="22"/>
        <v>11.454108657156041</v>
      </c>
      <c r="D274" s="77">
        <v>63630355</v>
      </c>
      <c r="E274" s="25">
        <v>375751378</v>
      </c>
      <c r="F274" s="25">
        <f t="shared" si="24"/>
        <v>439381733</v>
      </c>
      <c r="G274" s="24">
        <f t="shared" si="20"/>
        <v>10.534406363649325</v>
      </c>
      <c r="H274" s="25">
        <v>86662752</v>
      </c>
      <c r="I274" s="24">
        <f t="shared" si="21"/>
        <v>3.5914614466962007</v>
      </c>
      <c r="J274" s="25">
        <v>700216695</v>
      </c>
      <c r="K274" s="24">
        <f t="shared" si="23"/>
        <v>9.848676388346036</v>
      </c>
    </row>
    <row r="275" spans="1:11" ht="15.75" hidden="1">
      <c r="A275" s="44">
        <v>2</v>
      </c>
      <c r="B275" s="27">
        <v>177686791</v>
      </c>
      <c r="C275" s="19">
        <f t="shared" si="22"/>
        <v>12.623877727697021</v>
      </c>
      <c r="D275" s="78">
        <v>65447797</v>
      </c>
      <c r="E275" s="27">
        <v>373894800</v>
      </c>
      <c r="F275" s="27">
        <f t="shared" si="24"/>
        <v>439342597</v>
      </c>
      <c r="G275" s="19">
        <f t="shared" si="20"/>
        <v>9.166224494801952</v>
      </c>
      <c r="H275" s="27">
        <v>93356746</v>
      </c>
      <c r="I275" s="19">
        <f t="shared" si="21"/>
        <v>1.2310640429051602</v>
      </c>
      <c r="J275" s="27">
        <v>710386134</v>
      </c>
      <c r="K275" s="19">
        <f t="shared" si="23"/>
        <v>8.880717134157365</v>
      </c>
    </row>
    <row r="276" spans="1:11" ht="15.75" hidden="1">
      <c r="A276" s="44">
        <v>3</v>
      </c>
      <c r="B276" s="27">
        <v>180388751</v>
      </c>
      <c r="C276" s="19">
        <f t="shared" si="22"/>
        <v>10.331207783831005</v>
      </c>
      <c r="D276" s="78">
        <v>64997325</v>
      </c>
      <c r="E276" s="27">
        <v>372953158</v>
      </c>
      <c r="F276" s="27">
        <f t="shared" si="24"/>
        <v>437950483</v>
      </c>
      <c r="G276" s="19">
        <f t="shared" si="20"/>
        <v>8.939701169537969</v>
      </c>
      <c r="H276" s="27">
        <v>88269418</v>
      </c>
      <c r="I276" s="19">
        <f t="shared" si="21"/>
        <v>0.23579812215901086</v>
      </c>
      <c r="J276" s="27">
        <v>706608652</v>
      </c>
      <c r="K276" s="19">
        <f t="shared" si="23"/>
        <v>8.115042170554545</v>
      </c>
    </row>
    <row r="277" spans="1:11" ht="15.75" hidden="1">
      <c r="A277" s="44">
        <v>4</v>
      </c>
      <c r="B277" s="27">
        <v>179246233</v>
      </c>
      <c r="C277" s="19">
        <f t="shared" si="22"/>
        <v>8.936770997508575</v>
      </c>
      <c r="D277" s="78">
        <v>65134363</v>
      </c>
      <c r="E277" s="27">
        <v>373158752</v>
      </c>
      <c r="F277" s="27">
        <f t="shared" si="24"/>
        <v>438293115</v>
      </c>
      <c r="G277" s="19">
        <f t="shared" si="20"/>
        <v>6.699764984659367</v>
      </c>
      <c r="H277" s="27">
        <v>90010220</v>
      </c>
      <c r="I277" s="19">
        <f t="shared" si="21"/>
        <v>6.004575085509174</v>
      </c>
      <c r="J277" s="27">
        <v>707549568</v>
      </c>
      <c r="K277" s="19">
        <f t="shared" si="23"/>
        <v>7.167863663746019</v>
      </c>
    </row>
    <row r="278" spans="1:11" ht="15.75" hidden="1">
      <c r="A278" s="44">
        <v>5</v>
      </c>
      <c r="B278" s="27">
        <v>186866320</v>
      </c>
      <c r="C278" s="19">
        <f t="shared" si="22"/>
        <v>19.33957518361842</v>
      </c>
      <c r="D278" s="78">
        <v>71773693</v>
      </c>
      <c r="E278" s="27">
        <v>385328708</v>
      </c>
      <c r="F278" s="27">
        <f t="shared" si="24"/>
        <v>457102401</v>
      </c>
      <c r="G278" s="19">
        <f t="shared" si="20"/>
        <v>13.461969008717261</v>
      </c>
      <c r="H278" s="27">
        <v>97695082</v>
      </c>
      <c r="I278" s="19">
        <f t="shared" si="21"/>
        <v>13.988804755782326</v>
      </c>
      <c r="J278" s="27">
        <v>741663803</v>
      </c>
      <c r="K278" s="19">
        <f t="shared" si="23"/>
        <v>14.958486622606685</v>
      </c>
    </row>
    <row r="279" spans="1:11" ht="15.75" hidden="1">
      <c r="A279" s="44">
        <v>6</v>
      </c>
      <c r="B279" s="27">
        <v>189684355</v>
      </c>
      <c r="C279" s="19">
        <f t="shared" si="22"/>
        <v>18.89486935601046</v>
      </c>
      <c r="D279" s="78">
        <v>74936485</v>
      </c>
      <c r="E279" s="27">
        <v>388880645</v>
      </c>
      <c r="F279" s="27">
        <f t="shared" si="24"/>
        <v>463817130</v>
      </c>
      <c r="G279" s="19">
        <f aca="true" t="shared" si="25" ref="G279:G291">F279/F267*100-100</f>
        <v>14.93906624388859</v>
      </c>
      <c r="H279" s="27">
        <v>91692519</v>
      </c>
      <c r="I279" s="19">
        <f aca="true" t="shared" si="26" ref="I279:I320">H279/H267*100-100</f>
        <v>-1.5413588755385064</v>
      </c>
      <c r="J279" s="27">
        <v>745194004</v>
      </c>
      <c r="K279" s="19">
        <f t="shared" si="23"/>
        <v>13.561924527231866</v>
      </c>
    </row>
    <row r="280" spans="1:11" ht="15.75" hidden="1">
      <c r="A280" s="44">
        <v>7</v>
      </c>
      <c r="B280" s="27">
        <v>192965492</v>
      </c>
      <c r="C280" s="19">
        <f t="shared" si="22"/>
        <v>19.949948181058303</v>
      </c>
      <c r="D280" s="78">
        <v>77863755</v>
      </c>
      <c r="E280" s="27">
        <v>400986130</v>
      </c>
      <c r="F280" s="27">
        <f t="shared" si="24"/>
        <v>478849885</v>
      </c>
      <c r="G280" s="19">
        <f t="shared" si="25"/>
        <v>16.92446382611996</v>
      </c>
      <c r="H280" s="27">
        <v>92108671</v>
      </c>
      <c r="I280" s="19">
        <f t="shared" si="26"/>
        <v>-12.797380630686732</v>
      </c>
      <c r="J280" s="27">
        <v>763924048</v>
      </c>
      <c r="K280" s="19">
        <f t="shared" si="23"/>
        <v>13.000578431145144</v>
      </c>
    </row>
    <row r="281" spans="1:11" ht="15.75" hidden="1">
      <c r="A281" s="44">
        <v>8</v>
      </c>
      <c r="B281" s="27">
        <v>196195485</v>
      </c>
      <c r="C281" s="19">
        <f t="shared" si="22"/>
        <v>21.506828970991208</v>
      </c>
      <c r="D281" s="78">
        <v>76652018</v>
      </c>
      <c r="E281" s="27">
        <v>400856728</v>
      </c>
      <c r="F281" s="27">
        <f t="shared" si="24"/>
        <v>477508746</v>
      </c>
      <c r="G281" s="19">
        <f t="shared" si="25"/>
        <v>14.85696204449826</v>
      </c>
      <c r="H281" s="27">
        <v>100930350</v>
      </c>
      <c r="I281" s="19">
        <f t="shared" si="26"/>
        <v>24.523925573715502</v>
      </c>
      <c r="J281" s="27">
        <v>774634581</v>
      </c>
      <c r="K281" s="19">
        <f t="shared" si="23"/>
        <v>17.678447251254454</v>
      </c>
    </row>
    <row r="282" spans="1:11" ht="15.75" hidden="1">
      <c r="A282" s="44">
        <v>9</v>
      </c>
      <c r="B282" s="27">
        <v>202567154</v>
      </c>
      <c r="C282" s="19">
        <f t="shared" si="22"/>
        <v>20.82408900551013</v>
      </c>
      <c r="D282" s="78">
        <v>76237078</v>
      </c>
      <c r="E282" s="27">
        <v>409767918</v>
      </c>
      <c r="F282" s="27">
        <f t="shared" si="24"/>
        <v>486004996</v>
      </c>
      <c r="G282" s="19">
        <f t="shared" si="25"/>
        <v>14.27742445411107</v>
      </c>
      <c r="H282" s="27">
        <v>100798334</v>
      </c>
      <c r="I282" s="19">
        <f t="shared" si="26"/>
        <v>26.407287500570604</v>
      </c>
      <c r="J282" s="27">
        <v>789370484</v>
      </c>
      <c r="K282" s="19">
        <f t="shared" si="23"/>
        <v>17.346971081522653</v>
      </c>
    </row>
    <row r="283" spans="1:11" ht="15.75" hidden="1">
      <c r="A283" s="44">
        <v>10</v>
      </c>
      <c r="B283" s="27">
        <v>218319115</v>
      </c>
      <c r="C283" s="19">
        <f t="shared" si="22"/>
        <v>35.34215350498357</v>
      </c>
      <c r="D283" s="78">
        <v>76533333</v>
      </c>
      <c r="E283" s="27">
        <v>417405786</v>
      </c>
      <c r="F283" s="27">
        <f t="shared" si="24"/>
        <v>493939119</v>
      </c>
      <c r="G283" s="19">
        <f t="shared" si="25"/>
        <v>18.713544396220527</v>
      </c>
      <c r="H283" s="27">
        <v>92143779</v>
      </c>
      <c r="I283" s="19">
        <f t="shared" si="26"/>
        <v>9.427129953472104</v>
      </c>
      <c r="J283" s="27">
        <v>804402013</v>
      </c>
      <c r="K283" s="19">
        <f t="shared" si="23"/>
        <v>21.58597819231251</v>
      </c>
    </row>
    <row r="284" spans="1:11" ht="15.75" hidden="1">
      <c r="A284" s="44">
        <v>11</v>
      </c>
      <c r="B284" s="27">
        <v>218772602</v>
      </c>
      <c r="C284" s="19">
        <f t="shared" si="22"/>
        <v>30.56496447913679</v>
      </c>
      <c r="D284" s="78">
        <v>79861559</v>
      </c>
      <c r="E284" s="27">
        <v>416860465</v>
      </c>
      <c r="F284" s="27">
        <f t="shared" si="24"/>
        <v>496722024</v>
      </c>
      <c r="G284" s="19">
        <f t="shared" si="25"/>
        <v>18.415817939196685</v>
      </c>
      <c r="H284" s="27">
        <v>95029632</v>
      </c>
      <c r="I284" s="19">
        <f t="shared" si="26"/>
        <v>3.6658629576710666</v>
      </c>
      <c r="J284" s="27">
        <v>810524258</v>
      </c>
      <c r="K284" s="19">
        <f t="shared" si="23"/>
        <v>19.423001572608726</v>
      </c>
    </row>
    <row r="285" spans="1:11" ht="15.75" hidden="1">
      <c r="A285" s="53">
        <v>12</v>
      </c>
      <c r="B285" s="17">
        <v>219934847</v>
      </c>
      <c r="C285" s="16">
        <f t="shared" si="22"/>
        <v>21.603114152121506</v>
      </c>
      <c r="D285" s="67">
        <v>82059857</v>
      </c>
      <c r="E285" s="17">
        <v>416114581</v>
      </c>
      <c r="F285" s="17">
        <f t="shared" si="24"/>
        <v>498174438</v>
      </c>
      <c r="G285" s="16">
        <f t="shared" si="25"/>
        <v>16.705915905512143</v>
      </c>
      <c r="H285" s="17">
        <v>103767319</v>
      </c>
      <c r="I285" s="16">
        <f t="shared" si="26"/>
        <v>18.815433906465913</v>
      </c>
      <c r="J285" s="17">
        <v>821876604</v>
      </c>
      <c r="K285" s="16">
        <f t="shared" si="23"/>
        <v>18.24528588203549</v>
      </c>
    </row>
    <row r="286" spans="1:11" ht="15.75">
      <c r="A286" s="52" t="s">
        <v>102</v>
      </c>
      <c r="B286" s="25">
        <v>217803502</v>
      </c>
      <c r="C286" s="90">
        <f t="shared" si="22"/>
        <v>25.05066221528682</v>
      </c>
      <c r="D286" s="77">
        <v>81100464</v>
      </c>
      <c r="E286" s="25">
        <v>413763655</v>
      </c>
      <c r="F286" s="25">
        <v>494864119</v>
      </c>
      <c r="G286" s="24">
        <f t="shared" si="25"/>
        <v>12.627376568702275</v>
      </c>
      <c r="H286" s="25">
        <v>112913512</v>
      </c>
      <c r="I286" s="24">
        <f t="shared" si="26"/>
        <v>30.29070666945816</v>
      </c>
      <c r="J286" s="23">
        <v>825581133</v>
      </c>
      <c r="K286" s="24">
        <f t="shared" si="23"/>
        <v>17.90366309389411</v>
      </c>
    </row>
    <row r="287" spans="1:11" ht="15.75">
      <c r="A287" s="44">
        <v>2</v>
      </c>
      <c r="B287" s="27">
        <v>209148159</v>
      </c>
      <c r="C287" s="20">
        <f t="shared" si="22"/>
        <v>17.706081483569605</v>
      </c>
      <c r="D287" s="78">
        <v>80837191</v>
      </c>
      <c r="E287" s="27">
        <v>406096838</v>
      </c>
      <c r="F287" s="27">
        <v>486934029</v>
      </c>
      <c r="G287" s="19">
        <f t="shared" si="25"/>
        <v>10.832419238419533</v>
      </c>
      <c r="H287" s="27">
        <v>101084109</v>
      </c>
      <c r="I287" s="19">
        <f t="shared" si="26"/>
        <v>8.277241154056497</v>
      </c>
      <c r="J287" s="18">
        <v>797166297</v>
      </c>
      <c r="K287" s="19">
        <f t="shared" si="23"/>
        <v>12.215914535291319</v>
      </c>
    </row>
    <row r="288" spans="1:11" ht="15.75">
      <c r="A288" s="44">
        <v>3</v>
      </c>
      <c r="B288" s="27">
        <v>218424951</v>
      </c>
      <c r="C288" s="20">
        <f t="shared" si="22"/>
        <v>21.085682887177384</v>
      </c>
      <c r="D288" s="92">
        <v>82617102</v>
      </c>
      <c r="E288" s="27">
        <v>404258259</v>
      </c>
      <c r="F288" s="27">
        <v>486875361</v>
      </c>
      <c r="G288" s="19">
        <f t="shared" si="25"/>
        <v>11.1713264168269</v>
      </c>
      <c r="H288" s="27">
        <v>109409541</v>
      </c>
      <c r="I288" s="19">
        <f t="shared" si="26"/>
        <v>23.949543883930446</v>
      </c>
      <c r="J288" s="18">
        <v>814709853</v>
      </c>
      <c r="K288" s="19">
        <f t="shared" si="23"/>
        <v>15.298595721129104</v>
      </c>
    </row>
    <row r="289" spans="1:11" ht="15.75">
      <c r="A289" s="44">
        <v>4</v>
      </c>
      <c r="B289" s="27">
        <v>226109204</v>
      </c>
      <c r="C289" s="20">
        <f t="shared" si="22"/>
        <v>26.144466310764813</v>
      </c>
      <c r="D289" s="92">
        <v>85073486</v>
      </c>
      <c r="E289" s="27">
        <v>406836890</v>
      </c>
      <c r="F289" s="27">
        <f aca="true" t="shared" si="27" ref="F289:F323">SUM(D289:E289)</f>
        <v>491910376</v>
      </c>
      <c r="G289" s="19">
        <f t="shared" si="25"/>
        <v>12.233197183578852</v>
      </c>
      <c r="H289" s="27">
        <v>101843818</v>
      </c>
      <c r="I289" s="19">
        <f t="shared" si="26"/>
        <v>13.14694931308911</v>
      </c>
      <c r="J289" s="18">
        <v>819863398</v>
      </c>
      <c r="K289" s="19">
        <f t="shared" si="23"/>
        <v>15.873634170602728</v>
      </c>
    </row>
    <row r="290" spans="1:11" ht="15.75">
      <c r="A290" s="44">
        <v>5</v>
      </c>
      <c r="B290" s="27">
        <v>236304477</v>
      </c>
      <c r="C290" s="20">
        <f t="shared" si="22"/>
        <v>26.45642992273835</v>
      </c>
      <c r="D290" s="92">
        <v>85455501</v>
      </c>
      <c r="E290" s="27">
        <v>414551036</v>
      </c>
      <c r="F290" s="27">
        <f t="shared" si="27"/>
        <v>500006537</v>
      </c>
      <c r="G290" s="19">
        <f t="shared" si="25"/>
        <v>9.386110400238309</v>
      </c>
      <c r="H290" s="27">
        <v>110779531</v>
      </c>
      <c r="I290" s="19">
        <f t="shared" si="26"/>
        <v>13.393150128068882</v>
      </c>
      <c r="J290" s="18">
        <v>849442619</v>
      </c>
      <c r="K290" s="19">
        <f t="shared" si="23"/>
        <v>14.53203130098018</v>
      </c>
    </row>
    <row r="291" spans="1:11" ht="15.75">
      <c r="A291" s="44">
        <v>6</v>
      </c>
      <c r="B291" s="27">
        <v>233727282</v>
      </c>
      <c r="C291" s="20">
        <f t="shared" si="22"/>
        <v>23.219061477157666</v>
      </c>
      <c r="D291" s="92">
        <v>87939025</v>
      </c>
      <c r="E291" s="27">
        <v>420024550</v>
      </c>
      <c r="F291" s="27">
        <f t="shared" si="27"/>
        <v>507963575</v>
      </c>
      <c r="G291" s="19">
        <f t="shared" si="25"/>
        <v>9.518071270890744</v>
      </c>
      <c r="H291" s="27">
        <v>106541617</v>
      </c>
      <c r="I291" s="19">
        <f t="shared" si="26"/>
        <v>16.194448753229267</v>
      </c>
      <c r="J291" s="18">
        <v>852470388</v>
      </c>
      <c r="K291" s="19">
        <f t="shared" si="23"/>
        <v>14.39576585750413</v>
      </c>
    </row>
    <row r="292" spans="1:11" ht="15.75">
      <c r="A292" s="44">
        <v>7</v>
      </c>
      <c r="B292" s="27">
        <v>243359853</v>
      </c>
      <c r="C292" s="20">
        <f t="shared" si="22"/>
        <v>26.11573731535377</v>
      </c>
      <c r="D292" s="92">
        <v>87981816</v>
      </c>
      <c r="E292" s="27">
        <v>435362026</v>
      </c>
      <c r="F292" s="27">
        <f t="shared" si="27"/>
        <v>523343842</v>
      </c>
      <c r="G292" s="19">
        <f aca="true" t="shared" si="28" ref="G292:G323">F292/F280*100-100</f>
        <v>9.291838297089711</v>
      </c>
      <c r="H292" s="27">
        <v>104352438</v>
      </c>
      <c r="I292" s="19">
        <f t="shared" si="26"/>
        <v>13.292740919038977</v>
      </c>
      <c r="J292" s="18">
        <v>871056133</v>
      </c>
      <c r="K292" s="19">
        <f t="shared" si="23"/>
        <v>14.023918383048468</v>
      </c>
    </row>
    <row r="293" spans="1:11" ht="15.75">
      <c r="A293" s="44">
        <v>8</v>
      </c>
      <c r="B293" s="27">
        <v>243253404</v>
      </c>
      <c r="C293" s="20">
        <f t="shared" si="22"/>
        <v>23.98522014917927</v>
      </c>
      <c r="D293" s="92">
        <v>91582414</v>
      </c>
      <c r="E293" s="27">
        <v>441755551</v>
      </c>
      <c r="F293" s="27">
        <f t="shared" si="27"/>
        <v>533337965</v>
      </c>
      <c r="G293" s="19">
        <f t="shared" si="28"/>
        <v>11.691768887516886</v>
      </c>
      <c r="H293" s="27">
        <v>110288902</v>
      </c>
      <c r="I293" s="19">
        <f t="shared" si="26"/>
        <v>9.272287275333937</v>
      </c>
      <c r="J293" s="18">
        <v>886880271</v>
      </c>
      <c r="K293" s="19">
        <f t="shared" si="23"/>
        <v>14.490147064580896</v>
      </c>
    </row>
    <row r="294" spans="1:11" ht="15.75">
      <c r="A294" s="44">
        <v>9</v>
      </c>
      <c r="B294" s="27">
        <v>240942784</v>
      </c>
      <c r="C294" s="20">
        <f t="shared" si="22"/>
        <v>18.94464588271798</v>
      </c>
      <c r="D294" s="92">
        <v>89191107</v>
      </c>
      <c r="E294" s="27">
        <v>445786311</v>
      </c>
      <c r="F294" s="27">
        <f t="shared" si="27"/>
        <v>534977418</v>
      </c>
      <c r="G294" s="19">
        <f t="shared" si="28"/>
        <v>10.076526456118984</v>
      </c>
      <c r="H294" s="27">
        <v>112314693</v>
      </c>
      <c r="I294" s="19">
        <f t="shared" si="26"/>
        <v>11.425148157706658</v>
      </c>
      <c r="J294" s="18">
        <v>888234895</v>
      </c>
      <c r="K294" s="19">
        <f t="shared" si="23"/>
        <v>12.524462594423525</v>
      </c>
    </row>
    <row r="295" spans="1:11" ht="15.75">
      <c r="A295" s="44">
        <v>10</v>
      </c>
      <c r="B295" s="27">
        <v>250191981</v>
      </c>
      <c r="C295" s="20">
        <f t="shared" si="22"/>
        <v>14.599209968398782</v>
      </c>
      <c r="D295" s="92">
        <v>95586233</v>
      </c>
      <c r="E295" s="27">
        <v>464264695</v>
      </c>
      <c r="F295" s="27">
        <f t="shared" si="27"/>
        <v>559850928</v>
      </c>
      <c r="G295" s="19">
        <f t="shared" si="28"/>
        <v>13.344115998230961</v>
      </c>
      <c r="H295" s="27">
        <v>121083743</v>
      </c>
      <c r="I295" s="19">
        <f t="shared" si="26"/>
        <v>31.407398648149666</v>
      </c>
      <c r="J295" s="18">
        <v>931126652</v>
      </c>
      <c r="K295" s="19">
        <f t="shared" si="23"/>
        <v>15.753893818264217</v>
      </c>
    </row>
    <row r="296" spans="1:11" ht="15.75">
      <c r="A296" s="44">
        <v>11</v>
      </c>
      <c r="B296" s="27">
        <v>246405883</v>
      </c>
      <c r="C296" s="20">
        <f t="shared" si="22"/>
        <v>12.631051944977997</v>
      </c>
      <c r="D296" s="92">
        <v>95657989</v>
      </c>
      <c r="E296" s="27">
        <v>473563175</v>
      </c>
      <c r="F296" s="27">
        <f t="shared" si="27"/>
        <v>569221164</v>
      </c>
      <c r="G296" s="19">
        <f t="shared" si="28"/>
        <v>14.595515499026874</v>
      </c>
      <c r="H296" s="27">
        <v>111438613</v>
      </c>
      <c r="I296" s="19">
        <f t="shared" si="26"/>
        <v>17.267225658624042</v>
      </c>
      <c r="J296" s="18">
        <v>927065660</v>
      </c>
      <c r="K296" s="19">
        <f t="shared" si="23"/>
        <v>14.37852116697536</v>
      </c>
    </row>
    <row r="297" spans="1:11" ht="15.75">
      <c r="A297" s="53">
        <v>12</v>
      </c>
      <c r="B297" s="17">
        <v>244309789</v>
      </c>
      <c r="C297" s="86">
        <f t="shared" si="22"/>
        <v>11.082801262502983</v>
      </c>
      <c r="D297" s="93">
        <v>91782465</v>
      </c>
      <c r="E297" s="17">
        <v>471668538</v>
      </c>
      <c r="F297" s="17">
        <f t="shared" si="27"/>
        <v>563451003</v>
      </c>
      <c r="G297" s="16">
        <f t="shared" si="28"/>
        <v>13.103154240924738</v>
      </c>
      <c r="H297" s="17">
        <v>116573872</v>
      </c>
      <c r="I297" s="16">
        <f t="shared" si="26"/>
        <v>12.34160535649957</v>
      </c>
      <c r="J297" s="75">
        <v>924334664</v>
      </c>
      <c r="K297" s="16">
        <f t="shared" si="23"/>
        <v>12.466355594178708</v>
      </c>
    </row>
    <row r="298" spans="1:11" ht="15.75">
      <c r="A298" s="52" t="s">
        <v>104</v>
      </c>
      <c r="B298" s="25">
        <v>236088013</v>
      </c>
      <c r="C298" s="90">
        <f t="shared" si="22"/>
        <v>8.394957304221862</v>
      </c>
      <c r="D298" s="77">
        <v>90272076</v>
      </c>
      <c r="E298" s="25">
        <v>473698486</v>
      </c>
      <c r="F298" s="25">
        <f t="shared" si="27"/>
        <v>563970562</v>
      </c>
      <c r="G298" s="24">
        <f t="shared" si="28"/>
        <v>13.964730993155712</v>
      </c>
      <c r="H298" s="25">
        <v>134775569</v>
      </c>
      <c r="I298" s="24">
        <f t="shared" si="26"/>
        <v>19.36177222084811</v>
      </c>
      <c r="J298" s="23">
        <v>934834144</v>
      </c>
      <c r="K298" s="24">
        <f t="shared" si="23"/>
        <v>13.233467509485848</v>
      </c>
    </row>
    <row r="299" spans="1:11" ht="15.75">
      <c r="A299" s="44">
        <v>2</v>
      </c>
      <c r="B299" s="27">
        <v>234654703</v>
      </c>
      <c r="C299" s="20">
        <f t="shared" si="22"/>
        <v>12.195442753096387</v>
      </c>
      <c r="D299" s="78">
        <v>91179135</v>
      </c>
      <c r="E299" s="27">
        <v>478128643</v>
      </c>
      <c r="F299" s="27">
        <f t="shared" si="27"/>
        <v>569307778</v>
      </c>
      <c r="G299" s="19">
        <f t="shared" si="28"/>
        <v>16.916819136499498</v>
      </c>
      <c r="H299" s="27">
        <v>118729585</v>
      </c>
      <c r="I299" s="19">
        <f t="shared" si="26"/>
        <v>17.456231424070822</v>
      </c>
      <c r="J299" s="18">
        <v>922692066</v>
      </c>
      <c r="K299" s="19">
        <f t="shared" si="23"/>
        <v>15.746497245605468</v>
      </c>
    </row>
    <row r="300" spans="1:11" ht="15.75">
      <c r="A300" s="44">
        <v>3</v>
      </c>
      <c r="B300" s="27">
        <v>240070523</v>
      </c>
      <c r="C300" s="20">
        <f t="shared" si="22"/>
        <v>9.909844045243716</v>
      </c>
      <c r="D300" s="92">
        <v>97180582</v>
      </c>
      <c r="E300" s="27">
        <v>493656374</v>
      </c>
      <c r="F300" s="27">
        <f t="shared" si="27"/>
        <v>590836956</v>
      </c>
      <c r="G300" s="19">
        <f t="shared" si="28"/>
        <v>21.352814976398022</v>
      </c>
      <c r="H300" s="27">
        <v>122686802</v>
      </c>
      <c r="I300" s="19">
        <f t="shared" si="26"/>
        <v>12.135377663269793</v>
      </c>
      <c r="J300" s="18">
        <v>953594281</v>
      </c>
      <c r="K300" s="19">
        <f t="shared" si="23"/>
        <v>17.04710302552337</v>
      </c>
    </row>
    <row r="301" spans="1:11" ht="15.75">
      <c r="A301" s="44">
        <v>4</v>
      </c>
      <c r="B301" s="27">
        <v>247884447</v>
      </c>
      <c r="C301" s="20">
        <f t="shared" si="22"/>
        <v>9.630409826218298</v>
      </c>
      <c r="D301" s="92">
        <v>98282376</v>
      </c>
      <c r="E301" s="27">
        <v>502210984</v>
      </c>
      <c r="F301" s="27">
        <f t="shared" si="27"/>
        <v>600493360</v>
      </c>
      <c r="G301" s="19">
        <f t="shared" si="28"/>
        <v>22.073733203789956</v>
      </c>
      <c r="H301" s="27">
        <v>134780650</v>
      </c>
      <c r="I301" s="19">
        <f t="shared" si="26"/>
        <v>32.34053145965129</v>
      </c>
      <c r="J301" s="18">
        <v>983158457</v>
      </c>
      <c r="K301" s="19">
        <f t="shared" si="23"/>
        <v>19.917349572910197</v>
      </c>
    </row>
    <row r="302" spans="1:11" ht="15.75">
      <c r="A302" s="44">
        <v>5</v>
      </c>
      <c r="B302" s="27">
        <v>248884862</v>
      </c>
      <c r="C302" s="20">
        <f t="shared" si="22"/>
        <v>5.323803069545747</v>
      </c>
      <c r="D302" s="92">
        <v>101144511</v>
      </c>
      <c r="E302" s="27">
        <v>499856092</v>
      </c>
      <c r="F302" s="27">
        <f t="shared" si="27"/>
        <v>601000603</v>
      </c>
      <c r="G302" s="19">
        <f t="shared" si="28"/>
        <v>20.198549124168736</v>
      </c>
      <c r="H302" s="27">
        <v>121533937</v>
      </c>
      <c r="I302" s="19">
        <f t="shared" si="26"/>
        <v>9.707936026557107</v>
      </c>
      <c r="J302" s="18">
        <v>971419402</v>
      </c>
      <c r="K302" s="19">
        <f t="shared" si="23"/>
        <v>14.359625979633122</v>
      </c>
    </row>
    <row r="303" spans="1:11" ht="15.75">
      <c r="A303" s="44">
        <v>6</v>
      </c>
      <c r="B303" s="27">
        <v>243371089</v>
      </c>
      <c r="C303" s="20">
        <f t="shared" si="22"/>
        <v>4.126093846417135</v>
      </c>
      <c r="D303" s="92">
        <v>103346043</v>
      </c>
      <c r="E303" s="27">
        <v>500282153</v>
      </c>
      <c r="F303" s="27">
        <f t="shared" si="27"/>
        <v>603628196</v>
      </c>
      <c r="G303" s="19">
        <f t="shared" si="28"/>
        <v>18.83296868284306</v>
      </c>
      <c r="H303" s="27">
        <v>125638072</v>
      </c>
      <c r="I303" s="19">
        <f t="shared" si="26"/>
        <v>17.923939524965164</v>
      </c>
      <c r="J303" s="18">
        <v>972637357</v>
      </c>
      <c r="K303" s="19">
        <f t="shared" si="23"/>
        <v>14.096321783320406</v>
      </c>
    </row>
    <row r="304" spans="1:11" ht="15.75">
      <c r="A304" s="44">
        <v>7</v>
      </c>
      <c r="B304" s="27">
        <v>245305409</v>
      </c>
      <c r="C304" s="20">
        <f t="shared" si="22"/>
        <v>0.7994564329392375</v>
      </c>
      <c r="D304" s="92">
        <v>111478717</v>
      </c>
      <c r="E304" s="27">
        <v>517376680</v>
      </c>
      <c r="F304" s="27">
        <f t="shared" si="27"/>
        <v>628855397</v>
      </c>
      <c r="G304" s="19">
        <f t="shared" si="28"/>
        <v>20.161038791777727</v>
      </c>
      <c r="H304" s="27">
        <v>129957823</v>
      </c>
      <c r="I304" s="19">
        <f t="shared" si="26"/>
        <v>24.53740946617846</v>
      </c>
      <c r="J304" s="18">
        <v>1004118629</v>
      </c>
      <c r="K304" s="19">
        <f t="shared" si="23"/>
        <v>15.27599553678823</v>
      </c>
    </row>
    <row r="305" spans="1:11" ht="15.75">
      <c r="A305" s="44">
        <v>8</v>
      </c>
      <c r="B305" s="27">
        <v>234035989</v>
      </c>
      <c r="C305" s="20">
        <f t="shared" si="22"/>
        <v>-3.7892234387807378</v>
      </c>
      <c r="D305" s="92">
        <v>117188373</v>
      </c>
      <c r="E305" s="27">
        <v>523985194</v>
      </c>
      <c r="F305" s="27">
        <f t="shared" si="27"/>
        <v>641173567</v>
      </c>
      <c r="G305" s="19">
        <f t="shared" si="28"/>
        <v>20.218999785623737</v>
      </c>
      <c r="H305" s="27">
        <v>129308781</v>
      </c>
      <c r="I305" s="19">
        <f t="shared" si="26"/>
        <v>17.245505808009582</v>
      </c>
      <c r="J305" s="18">
        <v>1004518337</v>
      </c>
      <c r="K305" s="19">
        <f t="shared" si="23"/>
        <v>13.264255598713163</v>
      </c>
    </row>
    <row r="306" spans="1:11" ht="15.75">
      <c r="A306" s="44">
        <v>9</v>
      </c>
      <c r="B306" s="27">
        <v>243592904</v>
      </c>
      <c r="C306" s="20">
        <f t="shared" si="22"/>
        <v>1.0998959819440017</v>
      </c>
      <c r="D306" s="92">
        <v>100636761</v>
      </c>
      <c r="E306" s="27">
        <v>537543146</v>
      </c>
      <c r="F306" s="27">
        <f t="shared" si="27"/>
        <v>638179907</v>
      </c>
      <c r="G306" s="19">
        <f t="shared" si="28"/>
        <v>19.290999120265667</v>
      </c>
      <c r="H306" s="27">
        <v>121541430</v>
      </c>
      <c r="I306" s="19">
        <f t="shared" si="26"/>
        <v>8.215075653547842</v>
      </c>
      <c r="J306" s="18">
        <v>1003314241</v>
      </c>
      <c r="K306" s="19">
        <f t="shared" si="23"/>
        <v>12.955958682528461</v>
      </c>
    </row>
    <row r="307" spans="1:11" ht="15.75">
      <c r="A307" s="44">
        <v>10</v>
      </c>
      <c r="B307" s="27">
        <v>240733257</v>
      </c>
      <c r="C307" s="20">
        <f t="shared" si="22"/>
        <v>-3.7805863969716995</v>
      </c>
      <c r="D307" s="92">
        <v>95552345</v>
      </c>
      <c r="E307" s="27">
        <v>549338476</v>
      </c>
      <c r="F307" s="27">
        <f t="shared" si="27"/>
        <v>644890821</v>
      </c>
      <c r="G307" s="19">
        <f t="shared" si="28"/>
        <v>15.189738687009907</v>
      </c>
      <c r="H307" s="27">
        <v>128643296</v>
      </c>
      <c r="I307" s="19">
        <f t="shared" si="26"/>
        <v>6.243243570691391</v>
      </c>
      <c r="J307" s="18">
        <v>1014267374</v>
      </c>
      <c r="K307" s="19">
        <f t="shared" si="23"/>
        <v>8.92904545492486</v>
      </c>
    </row>
    <row r="308" spans="1:11" ht="15.75">
      <c r="A308" s="44">
        <v>11</v>
      </c>
      <c r="B308" s="27">
        <v>226017586</v>
      </c>
      <c r="C308" s="20">
        <f t="shared" si="22"/>
        <v>-8.274273630065892</v>
      </c>
      <c r="D308" s="92">
        <v>89022438</v>
      </c>
      <c r="E308" s="27">
        <v>556482171</v>
      </c>
      <c r="F308" s="27">
        <f t="shared" si="27"/>
        <v>645504609</v>
      </c>
      <c r="G308" s="19">
        <f t="shared" si="28"/>
        <v>13.40137187871673</v>
      </c>
      <c r="H308" s="27">
        <v>128327805</v>
      </c>
      <c r="I308" s="19">
        <f t="shared" si="26"/>
        <v>15.155601407207044</v>
      </c>
      <c r="J308" s="18">
        <v>999850000</v>
      </c>
      <c r="K308" s="19">
        <f t="shared" si="23"/>
        <v>7.851044768501069</v>
      </c>
    </row>
    <row r="309" spans="1:11" ht="15.75">
      <c r="A309" s="53">
        <v>12</v>
      </c>
      <c r="B309" s="17">
        <v>252113649</v>
      </c>
      <c r="C309" s="86">
        <f t="shared" si="22"/>
        <v>3.1942477753112115</v>
      </c>
      <c r="D309" s="93">
        <v>89699955</v>
      </c>
      <c r="E309" s="17">
        <v>555155151</v>
      </c>
      <c r="F309" s="17">
        <f t="shared" si="27"/>
        <v>644855106</v>
      </c>
      <c r="G309" s="16">
        <f t="shared" si="28"/>
        <v>14.447414693838084</v>
      </c>
      <c r="H309" s="17">
        <v>118374581</v>
      </c>
      <c r="I309" s="16">
        <f t="shared" si="26"/>
        <v>1.544693479856278</v>
      </c>
      <c r="J309" s="75">
        <v>1015343336</v>
      </c>
      <c r="K309" s="16">
        <f t="shared" si="23"/>
        <v>9.84585730087906</v>
      </c>
    </row>
    <row r="310" spans="1:11" ht="15.75">
      <c r="A310" s="52" t="s">
        <v>105</v>
      </c>
      <c r="B310" s="25">
        <v>246996663</v>
      </c>
      <c r="C310" s="90">
        <f t="shared" si="22"/>
        <v>4.620586137086093</v>
      </c>
      <c r="D310" s="94">
        <v>88494950</v>
      </c>
      <c r="E310" s="25">
        <v>552580907</v>
      </c>
      <c r="F310" s="25">
        <f t="shared" si="27"/>
        <v>641075857</v>
      </c>
      <c r="G310" s="24">
        <f t="shared" si="28"/>
        <v>13.67186519923358</v>
      </c>
      <c r="H310" s="23">
        <v>123740970</v>
      </c>
      <c r="I310" s="24">
        <f t="shared" si="26"/>
        <v>-8.187388175671515</v>
      </c>
      <c r="J310" s="23">
        <v>1011813490</v>
      </c>
      <c r="K310" s="24">
        <f t="shared" si="23"/>
        <v>8.234545827628665</v>
      </c>
    </row>
    <row r="311" spans="1:11" ht="15.75">
      <c r="A311" s="44">
        <v>2</v>
      </c>
      <c r="B311" s="27">
        <v>238221049</v>
      </c>
      <c r="C311" s="20">
        <f t="shared" si="22"/>
        <v>1.5198271990312548</v>
      </c>
      <c r="D311" s="92">
        <v>90949740</v>
      </c>
      <c r="E311" s="27">
        <v>543119770</v>
      </c>
      <c r="F311" s="27">
        <f t="shared" si="27"/>
        <v>634069510</v>
      </c>
      <c r="G311" s="19">
        <f t="shared" si="28"/>
        <v>11.375522081836039</v>
      </c>
      <c r="H311" s="18">
        <v>120714591</v>
      </c>
      <c r="I311" s="19">
        <f t="shared" si="26"/>
        <v>1.6718714210952612</v>
      </c>
      <c r="J311" s="18">
        <v>993005150</v>
      </c>
      <c r="K311" s="19">
        <f t="shared" si="23"/>
        <v>7.620427940257144</v>
      </c>
    </row>
    <row r="312" spans="1:11" ht="15.75">
      <c r="A312" s="44">
        <v>3</v>
      </c>
      <c r="B312" s="27">
        <v>254818408</v>
      </c>
      <c r="C312" s="20">
        <f t="shared" si="22"/>
        <v>6.1431469451999305</v>
      </c>
      <c r="D312" s="92">
        <v>94719369</v>
      </c>
      <c r="E312" s="27">
        <v>512836161</v>
      </c>
      <c r="F312" s="27">
        <f t="shared" si="27"/>
        <v>607555530</v>
      </c>
      <c r="G312" s="19">
        <f t="shared" si="28"/>
        <v>2.8296425655540673</v>
      </c>
      <c r="H312" s="18">
        <v>123967494</v>
      </c>
      <c r="I312" s="19">
        <f t="shared" si="26"/>
        <v>1.0438710432765248</v>
      </c>
      <c r="J312" s="18">
        <v>986341432</v>
      </c>
      <c r="K312" s="19">
        <f t="shared" si="23"/>
        <v>3.434075859353868</v>
      </c>
    </row>
    <row r="313" spans="1:11" ht="15.75">
      <c r="A313" s="44">
        <v>4</v>
      </c>
      <c r="B313" s="27">
        <v>258835739</v>
      </c>
      <c r="C313" s="20">
        <f t="shared" si="22"/>
        <v>4.417902023518238</v>
      </c>
      <c r="D313" s="92">
        <v>99117677</v>
      </c>
      <c r="E313" s="27">
        <v>523866238</v>
      </c>
      <c r="F313" s="27">
        <f t="shared" si="27"/>
        <v>622983915</v>
      </c>
      <c r="G313" s="19">
        <f t="shared" si="28"/>
        <v>3.74534616003082</v>
      </c>
      <c r="H313" s="18">
        <v>135226875</v>
      </c>
      <c r="I313" s="19">
        <f t="shared" si="26"/>
        <v>0.3310749725572606</v>
      </c>
      <c r="J313" s="18">
        <v>1017046529</v>
      </c>
      <c r="K313" s="19">
        <f t="shared" si="23"/>
        <v>3.446857600493587</v>
      </c>
    </row>
    <row r="314" spans="1:11" ht="15.75">
      <c r="A314" s="44">
        <v>5</v>
      </c>
      <c r="B314" s="27">
        <v>236828946</v>
      </c>
      <c r="C314" s="20">
        <f t="shared" si="22"/>
        <v>-4.843973194319872</v>
      </c>
      <c r="D314" s="92">
        <v>107396229</v>
      </c>
      <c r="E314" s="27">
        <v>527167837</v>
      </c>
      <c r="F314" s="27">
        <f t="shared" si="27"/>
        <v>634564066</v>
      </c>
      <c r="G314" s="19">
        <f t="shared" si="28"/>
        <v>5.584597225437378</v>
      </c>
      <c r="H314" s="18">
        <v>121849892</v>
      </c>
      <c r="I314" s="19">
        <f t="shared" si="26"/>
        <v>0.2599726527414248</v>
      </c>
      <c r="J314" s="18">
        <v>993242904</v>
      </c>
      <c r="K314" s="19">
        <f t="shared" si="23"/>
        <v>2.2465581761151725</v>
      </c>
    </row>
    <row r="315" spans="1:11" ht="15.75">
      <c r="A315" s="44">
        <v>6</v>
      </c>
      <c r="B315" s="27">
        <v>252485313</v>
      </c>
      <c r="C315" s="20">
        <f t="shared" si="22"/>
        <v>3.744990433107702</v>
      </c>
      <c r="D315" s="92">
        <v>100371960</v>
      </c>
      <c r="E315" s="27">
        <v>532774164</v>
      </c>
      <c r="F315" s="27">
        <f t="shared" si="27"/>
        <v>633146124</v>
      </c>
      <c r="G315" s="19">
        <f t="shared" si="28"/>
        <v>4.890084359147465</v>
      </c>
      <c r="H315" s="18">
        <v>120910442</v>
      </c>
      <c r="I315" s="19">
        <f t="shared" si="26"/>
        <v>-3.7628960113300707</v>
      </c>
      <c r="J315" s="18">
        <v>1006541879</v>
      </c>
      <c r="K315" s="19">
        <f t="shared" si="23"/>
        <v>3.4858338265533035</v>
      </c>
    </row>
    <row r="316" spans="1:15" s="79" customFormat="1" ht="18" customHeight="1">
      <c r="A316" s="87" t="s">
        <v>50</v>
      </c>
      <c r="B316" s="84">
        <v>263345276</v>
      </c>
      <c r="C316" s="20">
        <f t="shared" si="22"/>
        <v>7.354043709651762</v>
      </c>
      <c r="D316" s="85">
        <v>102230027</v>
      </c>
      <c r="E316" s="84">
        <v>544309161</v>
      </c>
      <c r="F316" s="27">
        <f t="shared" si="27"/>
        <v>646539188</v>
      </c>
      <c r="G316" s="19">
        <f t="shared" si="28"/>
        <v>2.8120599877749015</v>
      </c>
      <c r="H316" s="18">
        <v>134609041</v>
      </c>
      <c r="I316" s="19">
        <f t="shared" si="26"/>
        <v>3.579021172122893</v>
      </c>
      <c r="J316" s="85">
        <v>1044493505</v>
      </c>
      <c r="K316" s="19">
        <f t="shared" si="23"/>
        <v>4.02092689388796</v>
      </c>
      <c r="L316" s="2"/>
      <c r="M316" s="2"/>
      <c r="N316" s="2"/>
      <c r="O316" s="2"/>
    </row>
    <row r="317" spans="1:15" s="79" customFormat="1" ht="18" customHeight="1">
      <c r="A317" s="87" t="s">
        <v>51</v>
      </c>
      <c r="B317" s="84">
        <v>276882684</v>
      </c>
      <c r="C317" s="20">
        <f aca="true" t="shared" si="29" ref="C317:C323">B317/B305*100-100</f>
        <v>18.30773770439211</v>
      </c>
      <c r="D317" s="85">
        <v>113224677</v>
      </c>
      <c r="E317" s="84">
        <v>561493793</v>
      </c>
      <c r="F317" s="27">
        <f t="shared" si="27"/>
        <v>674718470</v>
      </c>
      <c r="G317" s="19">
        <f t="shared" si="28"/>
        <v>5.231797554748539</v>
      </c>
      <c r="H317" s="18">
        <v>122486195</v>
      </c>
      <c r="I317" s="19">
        <f t="shared" si="26"/>
        <v>-5.276196981549148</v>
      </c>
      <c r="J317" s="85">
        <v>1074087349</v>
      </c>
      <c r="K317" s="19">
        <f aca="true" t="shared" si="30" ref="K317:K323">J317/J305*100-100</f>
        <v>6.925608964766965</v>
      </c>
      <c r="L317" s="2"/>
      <c r="M317" s="2"/>
      <c r="N317" s="2"/>
      <c r="O317" s="2"/>
    </row>
    <row r="318" spans="1:15" s="79" customFormat="1" ht="18" customHeight="1">
      <c r="A318" s="87" t="s">
        <v>52</v>
      </c>
      <c r="B318" s="84">
        <v>292974050</v>
      </c>
      <c r="C318" s="20">
        <f t="shared" si="29"/>
        <v>20.271996921552372</v>
      </c>
      <c r="D318" s="85">
        <v>114239161</v>
      </c>
      <c r="E318" s="84">
        <v>568071910</v>
      </c>
      <c r="F318" s="27">
        <f t="shared" si="27"/>
        <v>682311071</v>
      </c>
      <c r="G318" s="19">
        <f t="shared" si="28"/>
        <v>6.915160367153334</v>
      </c>
      <c r="H318" s="18">
        <v>132656343</v>
      </c>
      <c r="I318" s="19">
        <f t="shared" si="26"/>
        <v>9.14495822535575</v>
      </c>
      <c r="J318" s="85">
        <v>1107941464</v>
      </c>
      <c r="K318" s="19">
        <f t="shared" si="30"/>
        <v>10.428160861717501</v>
      </c>
      <c r="L318" s="2"/>
      <c r="M318" s="2"/>
      <c r="N318" s="2"/>
      <c r="O318" s="2"/>
    </row>
    <row r="319" spans="1:15" s="79" customFormat="1" ht="18" customHeight="1">
      <c r="A319" s="87" t="s">
        <v>53</v>
      </c>
      <c r="B319" s="84">
        <v>300892072</v>
      </c>
      <c r="C319" s="20">
        <f t="shared" si="29"/>
        <v>24.98982307209843</v>
      </c>
      <c r="D319" s="85">
        <v>122888229</v>
      </c>
      <c r="E319" s="84">
        <v>579248847</v>
      </c>
      <c r="F319" s="27">
        <f t="shared" si="27"/>
        <v>702137076</v>
      </c>
      <c r="G319" s="19">
        <f t="shared" si="28"/>
        <v>8.876890961361667</v>
      </c>
      <c r="H319" s="18">
        <v>128811197</v>
      </c>
      <c r="I319" s="19">
        <f t="shared" si="26"/>
        <v>0.13051671188523528</v>
      </c>
      <c r="J319" s="85">
        <v>1131840345</v>
      </c>
      <c r="K319" s="19">
        <f t="shared" si="30"/>
        <v>11.591910970804832</v>
      </c>
      <c r="L319" s="2"/>
      <c r="M319" s="2"/>
      <c r="N319" s="2"/>
      <c r="O319" s="2"/>
    </row>
    <row r="320" spans="1:15" s="79" customFormat="1" ht="18" customHeight="1">
      <c r="A320" s="87" t="s">
        <v>54</v>
      </c>
      <c r="B320" s="84">
        <v>313977602</v>
      </c>
      <c r="C320" s="20">
        <f t="shared" si="29"/>
        <v>38.91733274241767</v>
      </c>
      <c r="D320" s="85">
        <v>120934215</v>
      </c>
      <c r="E320" s="84">
        <v>586496428</v>
      </c>
      <c r="F320" s="27">
        <f t="shared" si="27"/>
        <v>707430643</v>
      </c>
      <c r="G320" s="19">
        <f t="shared" si="28"/>
        <v>9.593430184167744</v>
      </c>
      <c r="H320" s="18">
        <v>128512965</v>
      </c>
      <c r="I320" s="19">
        <f t="shared" si="26"/>
        <v>0.1442867350532424</v>
      </c>
      <c r="J320" s="85">
        <v>1149921210</v>
      </c>
      <c r="K320" s="19">
        <f t="shared" si="30"/>
        <v>15.009372405860887</v>
      </c>
      <c r="L320" s="2"/>
      <c r="M320" s="2"/>
      <c r="N320" s="2"/>
      <c r="O320" s="2"/>
    </row>
    <row r="321" spans="1:15" s="79" customFormat="1" ht="18" customHeight="1">
      <c r="A321" s="88" t="s">
        <v>106</v>
      </c>
      <c r="B321" s="81">
        <v>357493056</v>
      </c>
      <c r="C321" s="91">
        <f t="shared" si="29"/>
        <v>41.79837443073146</v>
      </c>
      <c r="D321" s="95">
        <v>132609322</v>
      </c>
      <c r="E321" s="81">
        <v>597916792</v>
      </c>
      <c r="F321" s="80">
        <f t="shared" si="27"/>
        <v>730526114</v>
      </c>
      <c r="G321" s="82">
        <f t="shared" si="28"/>
        <v>13.285311258743462</v>
      </c>
      <c r="H321" s="75">
        <v>131919597</v>
      </c>
      <c r="I321" s="82">
        <f aca="true" t="shared" si="31" ref="I321:I330">H321/H309*100-100</f>
        <v>11.442503859844706</v>
      </c>
      <c r="J321" s="95">
        <v>1219938767</v>
      </c>
      <c r="K321" s="82">
        <f t="shared" si="30"/>
        <v>20.150369214616077</v>
      </c>
      <c r="L321" s="2"/>
      <c r="M321" s="2"/>
      <c r="N321" s="2"/>
      <c r="O321" s="2"/>
    </row>
    <row r="322" spans="1:15" s="79" customFormat="1" ht="18" customHeight="1">
      <c r="A322" s="89" t="s">
        <v>107</v>
      </c>
      <c r="B322" s="84">
        <v>341772233</v>
      </c>
      <c r="C322" s="20">
        <f t="shared" si="29"/>
        <v>38.371194512858665</v>
      </c>
      <c r="D322" s="85">
        <v>140894048</v>
      </c>
      <c r="E322" s="84">
        <v>600626541</v>
      </c>
      <c r="F322" s="27">
        <f t="shared" si="27"/>
        <v>741520589</v>
      </c>
      <c r="G322" s="19">
        <f t="shared" si="28"/>
        <v>15.668150797324444</v>
      </c>
      <c r="H322" s="18">
        <v>146215857</v>
      </c>
      <c r="I322" s="19">
        <f t="shared" si="31"/>
        <v>18.162850186159034</v>
      </c>
      <c r="J322" s="85">
        <v>1229508679</v>
      </c>
      <c r="K322" s="19">
        <f t="shared" si="30"/>
        <v>21.515347556791326</v>
      </c>
      <c r="L322" s="2"/>
      <c r="M322" s="2"/>
      <c r="N322" s="2"/>
      <c r="O322" s="2"/>
    </row>
    <row r="323" spans="1:15" s="79" customFormat="1" ht="18" customHeight="1">
      <c r="A323" s="44">
        <v>2</v>
      </c>
      <c r="B323" s="84">
        <v>338161673</v>
      </c>
      <c r="C323" s="20">
        <f t="shared" si="29"/>
        <v>41.9528939275219</v>
      </c>
      <c r="D323" s="85">
        <v>145632551</v>
      </c>
      <c r="E323" s="84">
        <v>600021283</v>
      </c>
      <c r="F323" s="27">
        <f t="shared" si="27"/>
        <v>745653834</v>
      </c>
      <c r="G323" s="19">
        <f t="shared" si="28"/>
        <v>17.598121694891148</v>
      </c>
      <c r="H323" s="18">
        <v>155713955</v>
      </c>
      <c r="I323" s="19">
        <f t="shared" si="31"/>
        <v>28.99348265198529</v>
      </c>
      <c r="J323" s="85">
        <v>1239529462</v>
      </c>
      <c r="K323" s="19">
        <f t="shared" si="30"/>
        <v>24.82608594728839</v>
      </c>
      <c r="L323" s="2"/>
      <c r="M323" s="2"/>
      <c r="N323" s="2"/>
      <c r="O323" s="2"/>
    </row>
    <row r="324" spans="1:15" s="79" customFormat="1" ht="18" customHeight="1">
      <c r="A324" s="44">
        <v>3</v>
      </c>
      <c r="B324" s="84">
        <v>368481820</v>
      </c>
      <c r="C324" s="20">
        <f aca="true" t="shared" si="32" ref="C324:C340">B324/B312*100-100</f>
        <v>44.60565188053448</v>
      </c>
      <c r="D324" s="85">
        <v>160104267</v>
      </c>
      <c r="E324" s="84">
        <v>611673603</v>
      </c>
      <c r="F324" s="27">
        <f aca="true" t="shared" si="33" ref="F324:F336">SUM(D324:E324)</f>
        <v>771777870</v>
      </c>
      <c r="G324" s="19">
        <f aca="true" t="shared" si="34" ref="G324:G338">F324/F312*100-100</f>
        <v>27.030013207187835</v>
      </c>
      <c r="H324" s="18">
        <v>152624521</v>
      </c>
      <c r="I324" s="19">
        <f t="shared" si="31"/>
        <v>23.116565540963506</v>
      </c>
      <c r="J324" s="85">
        <v>1292884211</v>
      </c>
      <c r="K324" s="19">
        <f aca="true" t="shared" si="35" ref="K324:K338">J324/J312*100-100</f>
        <v>31.07876938500135</v>
      </c>
      <c r="L324" s="2"/>
      <c r="M324" s="2"/>
      <c r="N324" s="2"/>
      <c r="O324" s="2"/>
    </row>
    <row r="325" spans="1:15" s="79" customFormat="1" ht="18" customHeight="1">
      <c r="A325" s="44">
        <v>4</v>
      </c>
      <c r="B325" s="84">
        <v>440803087</v>
      </c>
      <c r="C325" s="20">
        <f t="shared" si="32"/>
        <v>70.30224987593385</v>
      </c>
      <c r="D325" s="85">
        <v>184950386</v>
      </c>
      <c r="E325" s="84">
        <v>619955823</v>
      </c>
      <c r="F325" s="84">
        <f t="shared" si="33"/>
        <v>804906209</v>
      </c>
      <c r="G325" s="19">
        <f t="shared" si="34"/>
        <v>29.201764222114775</v>
      </c>
      <c r="H325" s="18">
        <v>178120667</v>
      </c>
      <c r="I325" s="19">
        <f t="shared" si="31"/>
        <v>31.719872251725093</v>
      </c>
      <c r="J325" s="85">
        <v>1423829963</v>
      </c>
      <c r="K325" s="19">
        <f t="shared" si="35"/>
        <v>39.99654120052554</v>
      </c>
      <c r="L325" s="2"/>
      <c r="M325" s="2"/>
      <c r="N325" s="2"/>
      <c r="O325" s="2"/>
    </row>
    <row r="326" spans="1:15" s="79" customFormat="1" ht="18" customHeight="1">
      <c r="A326" s="44">
        <v>5</v>
      </c>
      <c r="B326" s="84">
        <v>436471796</v>
      </c>
      <c r="C326" s="20">
        <f t="shared" si="32"/>
        <v>84.29833150547398</v>
      </c>
      <c r="D326" s="85">
        <v>193100185</v>
      </c>
      <c r="E326" s="84">
        <v>607747349</v>
      </c>
      <c r="F326" s="84">
        <f t="shared" si="33"/>
        <v>800847534</v>
      </c>
      <c r="G326" s="19">
        <f t="shared" si="34"/>
        <v>26.204362476459536</v>
      </c>
      <c r="H326" s="18">
        <v>167149070</v>
      </c>
      <c r="I326" s="19">
        <f t="shared" si="31"/>
        <v>37.17621514182386</v>
      </c>
      <c r="J326" s="85">
        <v>1404468400</v>
      </c>
      <c r="K326" s="19">
        <f t="shared" si="35"/>
        <v>41.402308976375025</v>
      </c>
      <c r="L326" s="2"/>
      <c r="M326" s="2"/>
      <c r="N326" s="2"/>
      <c r="O326" s="2"/>
    </row>
    <row r="327" spans="1:15" s="79" customFormat="1" ht="18" customHeight="1">
      <c r="A327" s="44">
        <v>6</v>
      </c>
      <c r="B327" s="84">
        <v>471404050</v>
      </c>
      <c r="C327" s="20">
        <f t="shared" si="32"/>
        <v>86.7055332442248</v>
      </c>
      <c r="D327" s="85">
        <v>218860453</v>
      </c>
      <c r="E327" s="84">
        <v>624287325</v>
      </c>
      <c r="F327" s="84">
        <f t="shared" si="33"/>
        <v>843147778</v>
      </c>
      <c r="G327" s="19">
        <f t="shared" si="34"/>
        <v>33.167960134270686</v>
      </c>
      <c r="H327" s="18">
        <v>167962474</v>
      </c>
      <c r="I327" s="19">
        <f t="shared" si="31"/>
        <v>38.9147795853728</v>
      </c>
      <c r="J327" s="85">
        <v>1482514302</v>
      </c>
      <c r="K327" s="19">
        <f t="shared" si="35"/>
        <v>47.28789064125965</v>
      </c>
      <c r="L327" s="2"/>
      <c r="M327" s="2"/>
      <c r="N327" s="2"/>
      <c r="O327" s="2"/>
    </row>
    <row r="328" spans="1:15" s="79" customFormat="1" ht="18" customHeight="1">
      <c r="A328" s="44">
        <v>7</v>
      </c>
      <c r="B328" s="84">
        <v>467918242</v>
      </c>
      <c r="C328" s="20">
        <f t="shared" si="32"/>
        <v>77.68241341074977</v>
      </c>
      <c r="D328" s="85">
        <v>231498624</v>
      </c>
      <c r="E328" s="84">
        <v>629114128</v>
      </c>
      <c r="F328" s="84">
        <f t="shared" si="33"/>
        <v>860612752</v>
      </c>
      <c r="G328" s="19">
        <f t="shared" si="34"/>
        <v>33.11068655594005</v>
      </c>
      <c r="H328" s="18">
        <v>185576757</v>
      </c>
      <c r="I328" s="19">
        <f t="shared" si="31"/>
        <v>37.86351616605009</v>
      </c>
      <c r="J328" s="85">
        <v>1514107751</v>
      </c>
      <c r="K328" s="19">
        <f t="shared" si="35"/>
        <v>44.960954161222844</v>
      </c>
      <c r="L328" s="2"/>
      <c r="M328" s="2"/>
      <c r="N328" s="2"/>
      <c r="O328" s="2"/>
    </row>
    <row r="329" spans="1:15" s="79" customFormat="1" ht="18" customHeight="1">
      <c r="A329" s="44">
        <v>8</v>
      </c>
      <c r="B329" s="84">
        <v>459974556</v>
      </c>
      <c r="C329" s="20">
        <f t="shared" si="32"/>
        <v>66.12615471468052</v>
      </c>
      <c r="D329" s="85">
        <v>203125121</v>
      </c>
      <c r="E329" s="84">
        <v>623657079</v>
      </c>
      <c r="F329" s="84">
        <f t="shared" si="33"/>
        <v>826782200</v>
      </c>
      <c r="G329" s="19">
        <f t="shared" si="34"/>
        <v>22.53735991546222</v>
      </c>
      <c r="H329" s="18">
        <v>209239684</v>
      </c>
      <c r="I329" s="19">
        <f t="shared" si="31"/>
        <v>70.82715648077729</v>
      </c>
      <c r="J329" s="85">
        <v>1495996440</v>
      </c>
      <c r="K329" s="19">
        <f t="shared" si="35"/>
        <v>39.280705744538096</v>
      </c>
      <c r="L329" s="2"/>
      <c r="M329" s="2"/>
      <c r="N329" s="2"/>
      <c r="O329" s="2"/>
    </row>
    <row r="330" spans="1:15" s="79" customFormat="1" ht="18" customHeight="1">
      <c r="A330" s="44">
        <v>9</v>
      </c>
      <c r="B330" s="84">
        <v>467891612</v>
      </c>
      <c r="C330" s="20">
        <f t="shared" si="32"/>
        <v>59.704114408767595</v>
      </c>
      <c r="D330" s="85">
        <v>194795915</v>
      </c>
      <c r="E330" s="84">
        <v>625437308</v>
      </c>
      <c r="F330" s="84">
        <f t="shared" si="33"/>
        <v>820233223</v>
      </c>
      <c r="G330" s="19">
        <f t="shared" si="34"/>
        <v>20.21396953120815</v>
      </c>
      <c r="H330" s="18">
        <v>247393334</v>
      </c>
      <c r="I330" s="19">
        <f t="shared" si="31"/>
        <v>86.49189959955402</v>
      </c>
      <c r="J330" s="85">
        <v>1535518169</v>
      </c>
      <c r="K330" s="19">
        <f t="shared" si="35"/>
        <v>38.59199415249975</v>
      </c>
      <c r="L330" s="2"/>
      <c r="M330" s="2"/>
      <c r="N330" s="2"/>
      <c r="O330" s="2"/>
    </row>
    <row r="331" spans="1:15" s="79" customFormat="1" ht="18" customHeight="1">
      <c r="A331" s="44">
        <v>10</v>
      </c>
      <c r="B331" s="84">
        <v>446586861</v>
      </c>
      <c r="C331" s="20">
        <f t="shared" si="32"/>
        <v>48.420946431582934</v>
      </c>
      <c r="D331" s="85">
        <v>189611085</v>
      </c>
      <c r="E331" s="84">
        <v>630923798</v>
      </c>
      <c r="F331" s="84">
        <f t="shared" si="33"/>
        <v>820534883</v>
      </c>
      <c r="G331" s="19">
        <f t="shared" si="34"/>
        <v>16.862491819190012</v>
      </c>
      <c r="H331" s="18">
        <v>252350152</v>
      </c>
      <c r="I331" s="19">
        <f aca="true" t="shared" si="36" ref="I331:I341">H331/H319*100-100</f>
        <v>95.90700022762772</v>
      </c>
      <c r="J331" s="85">
        <v>1519471896</v>
      </c>
      <c r="K331" s="19">
        <f t="shared" si="35"/>
        <v>34.247900131179705</v>
      </c>
      <c r="L331" s="2"/>
      <c r="M331" s="2"/>
      <c r="N331" s="2"/>
      <c r="O331" s="2"/>
    </row>
    <row r="332" spans="1:15" s="79" customFormat="1" ht="18" customHeight="1">
      <c r="A332" s="44">
        <v>11</v>
      </c>
      <c r="B332" s="84">
        <v>447900529</v>
      </c>
      <c r="C332" s="20">
        <f t="shared" si="32"/>
        <v>42.65365623118555</v>
      </c>
      <c r="D332" s="85">
        <v>168737262</v>
      </c>
      <c r="E332" s="84">
        <v>625812406</v>
      </c>
      <c r="F332" s="84">
        <f t="shared" si="33"/>
        <v>794549668</v>
      </c>
      <c r="G332" s="19">
        <f t="shared" si="34"/>
        <v>12.314850347809994</v>
      </c>
      <c r="H332" s="18">
        <v>264190880</v>
      </c>
      <c r="I332" s="19">
        <f t="shared" si="36"/>
        <v>105.57527405892472</v>
      </c>
      <c r="J332" s="85">
        <v>1506641077</v>
      </c>
      <c r="K332" s="19">
        <f t="shared" si="35"/>
        <v>31.021244229419864</v>
      </c>
      <c r="L332" s="2"/>
      <c r="M332" s="2"/>
      <c r="N332" s="2"/>
      <c r="O332" s="2"/>
    </row>
    <row r="333" spans="1:15" s="79" customFormat="1" ht="18" customHeight="1">
      <c r="A333" s="44">
        <v>12</v>
      </c>
      <c r="B333" s="84">
        <v>466605672</v>
      </c>
      <c r="C333" s="20">
        <f t="shared" si="32"/>
        <v>30.52160431334363</v>
      </c>
      <c r="D333" s="85">
        <v>162499402</v>
      </c>
      <c r="E333" s="84">
        <v>646490980</v>
      </c>
      <c r="F333" s="84">
        <f t="shared" si="33"/>
        <v>808990382</v>
      </c>
      <c r="G333" s="19">
        <f t="shared" si="34"/>
        <v>10.740788932289973</v>
      </c>
      <c r="H333" s="18">
        <v>223823790</v>
      </c>
      <c r="I333" s="19">
        <f>H333/H321*100-100</f>
        <v>69.66682364865017</v>
      </c>
      <c r="J333" s="85">
        <v>1499419844</v>
      </c>
      <c r="K333" s="19">
        <f t="shared" si="35"/>
        <v>22.909434847068837</v>
      </c>
      <c r="L333" s="2"/>
      <c r="M333" s="2"/>
      <c r="N333" s="2"/>
      <c r="O333" s="2"/>
    </row>
    <row r="334" spans="1:15" s="79" customFormat="1" ht="18" customHeight="1">
      <c r="A334" s="42" t="s">
        <v>108</v>
      </c>
      <c r="B334" s="97">
        <v>453086460</v>
      </c>
      <c r="C334" s="24">
        <f t="shared" si="32"/>
        <v>32.56971054169867</v>
      </c>
      <c r="D334" s="97">
        <v>159904839</v>
      </c>
      <c r="E334" s="96">
        <v>662527033</v>
      </c>
      <c r="F334" s="25">
        <f t="shared" si="33"/>
        <v>822431872</v>
      </c>
      <c r="G334" s="24">
        <f t="shared" si="34"/>
        <v>10.911535593248374</v>
      </c>
      <c r="H334" s="23">
        <v>210348119</v>
      </c>
      <c r="I334" s="24">
        <f t="shared" si="36"/>
        <v>43.8613590316678</v>
      </c>
      <c r="J334" s="97">
        <v>1485866451</v>
      </c>
      <c r="K334" s="24">
        <f t="shared" si="35"/>
        <v>20.850423944018374</v>
      </c>
      <c r="L334" s="2"/>
      <c r="M334" s="2"/>
      <c r="N334" s="2"/>
      <c r="O334" s="2"/>
    </row>
    <row r="335" spans="1:15" s="79" customFormat="1" ht="18" customHeight="1">
      <c r="A335" s="43">
        <v>2</v>
      </c>
      <c r="B335" s="85">
        <v>459386023</v>
      </c>
      <c r="C335" s="19">
        <f t="shared" si="32"/>
        <v>35.8480453815356</v>
      </c>
      <c r="D335" s="85">
        <v>161941006</v>
      </c>
      <c r="E335" s="84">
        <v>678235440</v>
      </c>
      <c r="F335" s="27">
        <f t="shared" si="33"/>
        <v>840176446</v>
      </c>
      <c r="G335" s="19">
        <f t="shared" si="34"/>
        <v>12.676473678535388</v>
      </c>
      <c r="H335" s="18">
        <v>219083832</v>
      </c>
      <c r="I335" s="19">
        <f t="shared" si="36"/>
        <v>40.6963377174512</v>
      </c>
      <c r="J335" s="85">
        <v>1518646455</v>
      </c>
      <c r="K335" s="19">
        <f t="shared" si="35"/>
        <v>22.517979729956593</v>
      </c>
      <c r="L335" s="2"/>
      <c r="M335" s="2"/>
      <c r="N335" s="2"/>
      <c r="O335" s="2"/>
    </row>
    <row r="336" spans="1:15" s="79" customFormat="1" ht="18" customHeight="1">
      <c r="A336" s="43">
        <v>3</v>
      </c>
      <c r="B336" s="85">
        <v>473972571</v>
      </c>
      <c r="C336" s="19">
        <f t="shared" si="32"/>
        <v>28.628481861058987</v>
      </c>
      <c r="D336" s="85">
        <v>185601442</v>
      </c>
      <c r="E336" s="84">
        <v>714680185</v>
      </c>
      <c r="F336" s="27">
        <f t="shared" si="33"/>
        <v>900281627</v>
      </c>
      <c r="G336" s="19">
        <f t="shared" si="34"/>
        <v>16.65035523757632</v>
      </c>
      <c r="H336" s="18">
        <v>209484265</v>
      </c>
      <c r="I336" s="19">
        <f t="shared" si="36"/>
        <v>37.25465844377652</v>
      </c>
      <c r="J336" s="85">
        <v>1583738463</v>
      </c>
      <c r="K336" s="19">
        <f t="shared" si="35"/>
        <v>22.49654296381533</v>
      </c>
      <c r="L336" s="2"/>
      <c r="M336" s="2"/>
      <c r="N336" s="2"/>
      <c r="O336" s="2"/>
    </row>
    <row r="337" spans="1:15" s="79" customFormat="1" ht="18" customHeight="1">
      <c r="A337" s="43">
        <v>4</v>
      </c>
      <c r="B337" s="85">
        <v>455720990</v>
      </c>
      <c r="C337" s="19">
        <f t="shared" si="32"/>
        <v>3.3842555644352927</v>
      </c>
      <c r="D337" s="85">
        <v>183861531</v>
      </c>
      <c r="E337" s="84">
        <v>751490174</v>
      </c>
      <c r="F337" s="84">
        <v>935351705</v>
      </c>
      <c r="G337" s="19">
        <f t="shared" si="34"/>
        <v>16.206297645791906</v>
      </c>
      <c r="H337" s="18">
        <v>206419626</v>
      </c>
      <c r="I337" s="19">
        <f t="shared" si="36"/>
        <v>15.887521350905345</v>
      </c>
      <c r="J337" s="85">
        <v>1597362321</v>
      </c>
      <c r="K337" s="19">
        <f t="shared" si="35"/>
        <v>12.187716406414737</v>
      </c>
      <c r="L337" s="2"/>
      <c r="M337" s="2"/>
      <c r="N337" s="2"/>
      <c r="O337" s="2"/>
    </row>
    <row r="338" spans="1:15" s="79" customFormat="1" ht="18" customHeight="1">
      <c r="A338" s="43">
        <v>5</v>
      </c>
      <c r="B338" s="85">
        <v>463647610</v>
      </c>
      <c r="C338" s="19">
        <f t="shared" si="32"/>
        <v>6.226247434324492</v>
      </c>
      <c r="D338" s="85">
        <v>197133441</v>
      </c>
      <c r="E338" s="84">
        <v>770333191</v>
      </c>
      <c r="F338" s="84">
        <v>967466632</v>
      </c>
      <c r="G338" s="19">
        <f t="shared" si="34"/>
        <v>20.805345702669058</v>
      </c>
      <c r="H338" s="18">
        <v>214724018</v>
      </c>
      <c r="I338" s="19">
        <f t="shared" si="36"/>
        <v>28.462586121478267</v>
      </c>
      <c r="J338" s="85">
        <v>1645508260</v>
      </c>
      <c r="K338" s="19">
        <f t="shared" si="35"/>
        <v>17.16235552184726</v>
      </c>
      <c r="L338" s="2"/>
      <c r="M338" s="2"/>
      <c r="N338" s="2"/>
      <c r="O338" s="2"/>
    </row>
    <row r="339" spans="1:15" s="79" customFormat="1" ht="18" customHeight="1">
      <c r="A339" s="63">
        <v>6</v>
      </c>
      <c r="B339" s="85">
        <v>475725892</v>
      </c>
      <c r="C339" s="19">
        <f t="shared" si="32"/>
        <v>0.9168020512339723</v>
      </c>
      <c r="D339" s="85">
        <v>207889327</v>
      </c>
      <c r="E339" s="84">
        <v>792943616</v>
      </c>
      <c r="F339" s="84">
        <v>1000832943</v>
      </c>
      <c r="G339" s="19">
        <f aca="true" t="shared" si="37" ref="G339:G348">F339/F327*100-100</f>
        <v>18.70196057137686</v>
      </c>
      <c r="H339" s="18">
        <v>193969620</v>
      </c>
      <c r="I339" s="19">
        <f t="shared" si="36"/>
        <v>15.483902672212352</v>
      </c>
      <c r="J339" s="85">
        <v>1670198455</v>
      </c>
      <c r="K339" s="19">
        <f aca="true" t="shared" si="38" ref="K339:K348">J339/J327*100-100</f>
        <v>12.659854461221911</v>
      </c>
      <c r="L339" s="2"/>
      <c r="M339" s="2"/>
      <c r="N339" s="2"/>
      <c r="O339" s="2"/>
    </row>
    <row r="340" spans="1:15" s="79" customFormat="1" ht="18" customHeight="1">
      <c r="A340" s="63">
        <v>7</v>
      </c>
      <c r="B340" s="85">
        <v>474637953</v>
      </c>
      <c r="C340" s="19">
        <f t="shared" si="32"/>
        <v>1.4360865631735749</v>
      </c>
      <c r="D340" s="85">
        <v>208470952</v>
      </c>
      <c r="E340" s="84">
        <v>813280739</v>
      </c>
      <c r="F340" s="84">
        <v>1021751691</v>
      </c>
      <c r="G340" s="19">
        <f t="shared" si="37"/>
        <v>18.723745218220984</v>
      </c>
      <c r="H340" s="18">
        <v>220464257</v>
      </c>
      <c r="I340" s="19">
        <f t="shared" si="36"/>
        <v>18.7994986893752</v>
      </c>
      <c r="J340" s="85">
        <v>1716853901</v>
      </c>
      <c r="K340" s="19">
        <f t="shared" si="38"/>
        <v>13.390470385353709</v>
      </c>
      <c r="L340" s="2"/>
      <c r="M340" s="2"/>
      <c r="N340" s="2"/>
      <c r="O340" s="2"/>
    </row>
    <row r="341" spans="1:15" s="79" customFormat="1" ht="18" customHeight="1">
      <c r="A341" s="63">
        <v>8</v>
      </c>
      <c r="B341" s="85">
        <v>474436662</v>
      </c>
      <c r="C341" s="19">
        <f>B341/B329*100-100</f>
        <v>3.144109997249501</v>
      </c>
      <c r="D341" s="85">
        <v>205203158</v>
      </c>
      <c r="E341" s="84">
        <v>830893635</v>
      </c>
      <c r="F341" s="84">
        <v>1036096793</v>
      </c>
      <c r="G341" s="19">
        <f t="shared" si="37"/>
        <v>25.316775445818735</v>
      </c>
      <c r="H341" s="18">
        <v>213042506</v>
      </c>
      <c r="I341" s="19">
        <f t="shared" si="36"/>
        <v>1.8174477839490493</v>
      </c>
      <c r="J341" s="85">
        <v>1723575961</v>
      </c>
      <c r="K341" s="19">
        <f t="shared" si="38"/>
        <v>15.21257102724121</v>
      </c>
      <c r="L341" s="2"/>
      <c r="M341" s="2"/>
      <c r="N341" s="2"/>
      <c r="O341" s="2"/>
    </row>
    <row r="342" spans="1:15" s="79" customFormat="1" ht="18" customHeight="1">
      <c r="A342" s="63">
        <v>9</v>
      </c>
      <c r="B342" s="85">
        <v>526174389</v>
      </c>
      <c r="C342" s="19">
        <f>B342/B330*100-100</f>
        <v>12.456469726155305</v>
      </c>
      <c r="D342" s="85">
        <v>217788192</v>
      </c>
      <c r="E342" s="84">
        <v>851894169</v>
      </c>
      <c r="F342" s="84">
        <v>1069682361</v>
      </c>
      <c r="G342" s="19">
        <f t="shared" si="37"/>
        <v>30.41197686282942</v>
      </c>
      <c r="H342" s="18">
        <v>194336561</v>
      </c>
      <c r="I342" s="19">
        <f>H342/H330*100-100</f>
        <v>-21.446322801890844</v>
      </c>
      <c r="J342" s="85">
        <v>1790193311</v>
      </c>
      <c r="K342" s="19">
        <f t="shared" si="38"/>
        <v>16.585615666524873</v>
      </c>
      <c r="L342" s="2"/>
      <c r="M342" s="2"/>
      <c r="N342" s="2"/>
      <c r="O342" s="2"/>
    </row>
    <row r="343" spans="1:15" s="79" customFormat="1" ht="18" customHeight="1">
      <c r="A343" s="43">
        <v>10</v>
      </c>
      <c r="B343" s="85">
        <v>537727613</v>
      </c>
      <c r="C343" s="19">
        <f>B343/B331*100-100</f>
        <v>20.40829230755179</v>
      </c>
      <c r="D343" s="85">
        <v>236619284</v>
      </c>
      <c r="E343" s="84">
        <v>879291888</v>
      </c>
      <c r="F343" s="84">
        <v>1115911172</v>
      </c>
      <c r="G343" s="19">
        <f t="shared" si="37"/>
        <v>35.998017283562575</v>
      </c>
      <c r="H343" s="18">
        <v>198223850</v>
      </c>
      <c r="I343" s="19">
        <f>H343/H331*100-100</f>
        <v>-21.44888820990289</v>
      </c>
      <c r="J343" s="85">
        <v>1851862635</v>
      </c>
      <c r="K343" s="19">
        <f t="shared" si="38"/>
        <v>21.8754121004157</v>
      </c>
      <c r="L343" s="2"/>
      <c r="M343" s="2"/>
      <c r="N343" s="2"/>
      <c r="O343" s="2"/>
    </row>
    <row r="344" spans="1:15" s="79" customFormat="1" ht="18" customHeight="1">
      <c r="A344" s="43">
        <v>11</v>
      </c>
      <c r="B344" s="85">
        <v>559826063</v>
      </c>
      <c r="C344" s="19">
        <f>B344/B332*100-100</f>
        <v>24.988926503366542</v>
      </c>
      <c r="D344" s="85">
        <v>260451497</v>
      </c>
      <c r="E344" s="84">
        <v>846991756</v>
      </c>
      <c r="F344" s="84">
        <v>1107443253</v>
      </c>
      <c r="G344" s="19">
        <f t="shared" si="37"/>
        <v>39.3799906540267</v>
      </c>
      <c r="H344" s="18">
        <v>221921948</v>
      </c>
      <c r="I344" s="19">
        <f>H344/H332*100-100</f>
        <v>-15.999391046352557</v>
      </c>
      <c r="J344" s="85">
        <v>1889191264</v>
      </c>
      <c r="K344" s="19">
        <f t="shared" si="38"/>
        <v>25.390930384144838</v>
      </c>
      <c r="L344" s="2"/>
      <c r="M344" s="2"/>
      <c r="N344" s="2"/>
      <c r="O344" s="2"/>
    </row>
    <row r="345" spans="1:15" s="79" customFormat="1" ht="18" customHeight="1">
      <c r="A345" s="43">
        <v>12</v>
      </c>
      <c r="B345" s="85">
        <v>574201883</v>
      </c>
      <c r="C345" s="19">
        <f>B345/B333*100-100</f>
        <v>23.059344850827273</v>
      </c>
      <c r="D345" s="85">
        <v>242811169</v>
      </c>
      <c r="E345" s="84">
        <v>789371520</v>
      </c>
      <c r="F345" s="84">
        <v>1032182689</v>
      </c>
      <c r="G345" s="19">
        <f t="shared" si="37"/>
        <v>27.58899388250083</v>
      </c>
      <c r="H345" s="18">
        <v>222610960</v>
      </c>
      <c r="I345" s="19">
        <f>H345/H333*100-100</f>
        <v>-0.5418682258932392</v>
      </c>
      <c r="J345" s="85">
        <v>1828995532</v>
      </c>
      <c r="K345" s="19">
        <f t="shared" si="38"/>
        <v>21.98021383529189</v>
      </c>
      <c r="L345" s="2"/>
      <c r="M345" s="2"/>
      <c r="N345" s="2"/>
      <c r="O345" s="2"/>
    </row>
    <row r="346" spans="1:15" s="79" customFormat="1" ht="18" customHeight="1">
      <c r="A346" s="42" t="s">
        <v>109</v>
      </c>
      <c r="B346" s="111">
        <v>640747967</v>
      </c>
      <c r="C346" s="106">
        <f>B346/B334*100-100</f>
        <v>41.41847606745961</v>
      </c>
      <c r="D346" s="111">
        <v>239268087</v>
      </c>
      <c r="E346" s="105">
        <v>880861115</v>
      </c>
      <c r="F346" s="105">
        <v>1120129202</v>
      </c>
      <c r="G346" s="106">
        <f>F346/F334*100-100</f>
        <v>36.19720248390374</v>
      </c>
      <c r="H346" s="114">
        <v>221812895</v>
      </c>
      <c r="I346" s="117">
        <f>H346/H334*100-100</f>
        <v>5.450381992719414</v>
      </c>
      <c r="J346" s="97">
        <v>1982690064</v>
      </c>
      <c r="K346" s="24">
        <f t="shared" si="38"/>
        <v>33.43662633109682</v>
      </c>
      <c r="L346" s="2"/>
      <c r="M346" s="2"/>
      <c r="N346" s="2"/>
      <c r="O346" s="2"/>
    </row>
    <row r="347" spans="1:15" s="79" customFormat="1" ht="18" customHeight="1">
      <c r="A347" s="107"/>
      <c r="B347" s="112">
        <v>817228795</v>
      </c>
      <c r="C347" s="108">
        <f>B347/B335*100-100</f>
        <v>77.89587712380182</v>
      </c>
      <c r="D347" s="112">
        <v>242047854</v>
      </c>
      <c r="E347" s="84">
        <v>932995602</v>
      </c>
      <c r="F347" s="84">
        <v>1175043456</v>
      </c>
      <c r="G347" s="108">
        <f t="shared" si="37"/>
        <v>39.85674813835473</v>
      </c>
      <c r="H347" s="115">
        <v>290429566</v>
      </c>
      <c r="I347" s="19">
        <f>H347/H335*100-100</f>
        <v>32.565494837610856</v>
      </c>
      <c r="J347" s="85">
        <v>2282701817</v>
      </c>
      <c r="K347" s="19">
        <f t="shared" si="38"/>
        <v>50.31160211676786</v>
      </c>
      <c r="L347" s="2"/>
      <c r="M347" s="2"/>
      <c r="N347" s="2"/>
      <c r="O347" s="2"/>
    </row>
    <row r="348" spans="1:15" s="79" customFormat="1" ht="18" customHeight="1">
      <c r="A348" s="109"/>
      <c r="B348" s="113">
        <v>876999506</v>
      </c>
      <c r="C348" s="110">
        <f>B348/B336*100-100</f>
        <v>85.03170007278754</v>
      </c>
      <c r="D348" s="113">
        <v>267427316</v>
      </c>
      <c r="E348" s="81">
        <v>981081113</v>
      </c>
      <c r="F348" s="81">
        <v>1248508429</v>
      </c>
      <c r="G348" s="110">
        <f>F348/F336*100-100</f>
        <v>38.67976326034696</v>
      </c>
      <c r="H348" s="116">
        <v>314593943</v>
      </c>
      <c r="I348" s="82">
        <f>H348/H336*100-100</f>
        <v>50.17545255726009</v>
      </c>
      <c r="J348" s="118">
        <v>2440101878</v>
      </c>
      <c r="K348" s="16">
        <f t="shared" si="38"/>
        <v>54.07227487408696</v>
      </c>
      <c r="L348" s="2"/>
      <c r="M348" s="2"/>
      <c r="N348" s="2"/>
      <c r="O348" s="2"/>
    </row>
    <row r="349" spans="1:11" ht="15">
      <c r="A349" s="65" t="s">
        <v>75</v>
      </c>
      <c r="B349" s="27"/>
      <c r="E349" s="27"/>
      <c r="F349" s="6"/>
      <c r="G349" s="6"/>
      <c r="H349" s="27"/>
      <c r="I349" s="6"/>
      <c r="J349" s="28"/>
      <c r="K349" s="66" t="s">
        <v>76</v>
      </c>
    </row>
    <row r="350" spans="1:11" ht="15">
      <c r="A350" s="65" t="s">
        <v>74</v>
      </c>
      <c r="B350" s="60"/>
      <c r="K350" s="66" t="s">
        <v>103</v>
      </c>
    </row>
    <row r="351" spans="1:11" ht="12.75">
      <c r="A351" s="76"/>
      <c r="B351" s="6"/>
      <c r="K351" s="30"/>
    </row>
    <row r="352" spans="1:11" ht="12.75">
      <c r="A352" s="76"/>
      <c r="B352" s="76"/>
      <c r="C352" s="76"/>
      <c r="D352" s="76"/>
      <c r="E352" s="76"/>
      <c r="F352" s="76"/>
      <c r="G352" s="76"/>
      <c r="H352" s="76"/>
      <c r="I352" s="76"/>
      <c r="J352" s="6"/>
      <c r="K352" s="29"/>
    </row>
    <row r="353" spans="1:11" ht="12.75">
      <c r="A353" s="76"/>
      <c r="B353" s="76"/>
      <c r="C353" s="76"/>
      <c r="D353" s="76"/>
      <c r="G353" s="64"/>
      <c r="H353" s="64"/>
      <c r="I353" s="76"/>
      <c r="J353" s="6"/>
      <c r="K353" s="29"/>
    </row>
    <row r="354" spans="8:12" ht="12.75">
      <c r="H354" s="83"/>
      <c r="L354" s="4"/>
    </row>
    <row r="355" spans="2:12" ht="12.75">
      <c r="B355" s="51"/>
      <c r="C355" s="51"/>
      <c r="D355" s="51"/>
      <c r="E355" s="51"/>
      <c r="H355" s="83"/>
      <c r="J355" s="6"/>
      <c r="K355" s="5"/>
      <c r="L355" s="4"/>
    </row>
    <row r="356" spans="8:11" ht="12.75">
      <c r="H356" s="83"/>
      <c r="J356" s="6"/>
      <c r="K356" s="5"/>
    </row>
    <row r="357" spans="3:11" ht="12.75">
      <c r="C357" s="68"/>
      <c r="D357" s="69"/>
      <c r="E357" s="69"/>
      <c r="F357" s="69"/>
      <c r="G357" s="69"/>
      <c r="H357" s="64"/>
      <c r="I357" s="69"/>
      <c r="J357" s="69"/>
      <c r="K357" s="5"/>
    </row>
    <row r="358" spans="3:11" ht="12.75">
      <c r="C358" s="68"/>
      <c r="D358" s="69"/>
      <c r="E358" s="69"/>
      <c r="F358" s="69"/>
      <c r="G358" s="69"/>
      <c r="H358" s="64"/>
      <c r="I358" s="69"/>
      <c r="J358" s="69"/>
      <c r="K358" s="5"/>
    </row>
    <row r="359" ht="12.75">
      <c r="B359" s="68"/>
    </row>
    <row r="360" spans="3:11" ht="12.75">
      <c r="C360" s="68"/>
      <c r="D360" s="69"/>
      <c r="E360" s="69"/>
      <c r="F360" s="69"/>
      <c r="G360" s="69"/>
      <c r="H360" s="69"/>
      <c r="I360" s="69"/>
      <c r="J360" s="69"/>
      <c r="K360" s="5"/>
    </row>
    <row r="361" spans="3:11" ht="12.75">
      <c r="C361" s="68"/>
      <c r="D361" s="69"/>
      <c r="E361" s="69"/>
      <c r="F361" s="69"/>
      <c r="G361" s="69"/>
      <c r="H361" s="69"/>
      <c r="I361" s="69"/>
      <c r="J361" s="69"/>
      <c r="K361" s="5"/>
    </row>
    <row r="362" spans="3:11" ht="12.75">
      <c r="C362" s="68"/>
      <c r="D362" s="69"/>
      <c r="E362" s="69"/>
      <c r="F362" s="69"/>
      <c r="G362" s="69"/>
      <c r="H362" s="69"/>
      <c r="I362" s="69"/>
      <c r="J362" s="69"/>
      <c r="K362" s="5"/>
    </row>
    <row r="363" spans="2:9" ht="12.75">
      <c r="B363" s="68"/>
      <c r="I363" s="69"/>
    </row>
    <row r="364" spans="2:9" ht="12.75">
      <c r="B364" s="68"/>
      <c r="I364" s="69"/>
    </row>
    <row r="365" spans="2:9" ht="12.75">
      <c r="B365" s="68"/>
      <c r="I365" s="69"/>
    </row>
    <row r="366" spans="2:9" ht="12.75">
      <c r="B366" s="68"/>
      <c r="I366" s="69"/>
    </row>
    <row r="367" spans="2:9" ht="12.75">
      <c r="B367" s="68"/>
      <c r="I367" s="69"/>
    </row>
    <row r="368" spans="2:9" ht="12.75">
      <c r="B368" s="68"/>
      <c r="I368" s="69"/>
    </row>
    <row r="369" spans="2:9" ht="12.75">
      <c r="B369" s="68"/>
      <c r="I369" s="69"/>
    </row>
    <row r="370" spans="2:9" ht="12.75">
      <c r="B370" s="68"/>
      <c r="I370" s="69"/>
    </row>
    <row r="371" spans="2:9" ht="12.75">
      <c r="B371" s="68"/>
      <c r="I371" s="69"/>
    </row>
    <row r="372" spans="2:9" ht="12.75">
      <c r="B372" s="68"/>
      <c r="I372" s="69"/>
    </row>
    <row r="373" spans="2:9" ht="12.75">
      <c r="B373" s="68"/>
      <c r="I373" s="69"/>
    </row>
    <row r="374" spans="2:9" ht="12.75">
      <c r="B374" s="68"/>
      <c r="I374" s="69"/>
    </row>
    <row r="375" spans="2:9" ht="12.75">
      <c r="B375" s="68"/>
      <c r="I375" s="69"/>
    </row>
    <row r="376" spans="2:9" ht="12.75">
      <c r="B376" s="68"/>
      <c r="I376" s="69"/>
    </row>
    <row r="377" spans="2:9" ht="12.75">
      <c r="B377" s="68"/>
      <c r="I377" s="69"/>
    </row>
    <row r="378" spans="2:9" ht="12.75">
      <c r="B378" s="68"/>
      <c r="I378" s="69"/>
    </row>
    <row r="379" spans="2:9" ht="12.75">
      <c r="B379" s="68"/>
      <c r="I379" s="69"/>
    </row>
    <row r="380" spans="2:9" ht="12.75">
      <c r="B380" s="68"/>
      <c r="I380" s="69"/>
    </row>
    <row r="381" spans="2:9" ht="12.75">
      <c r="B381" s="68"/>
      <c r="I381" s="69"/>
    </row>
    <row r="382" spans="2:9" ht="12.75">
      <c r="B382" s="68"/>
      <c r="I382" s="69"/>
    </row>
    <row r="383" spans="2:9" ht="12.75">
      <c r="B383" s="68"/>
      <c r="I383" s="69"/>
    </row>
    <row r="384" spans="2:9" ht="12.75">
      <c r="B384" s="68"/>
      <c r="I384" s="69"/>
    </row>
    <row r="385" spans="2:9" ht="12.75">
      <c r="B385" s="68"/>
      <c r="I385" s="69"/>
    </row>
    <row r="386" spans="2:9" ht="12.75">
      <c r="B386" s="68"/>
      <c r="I386" s="69"/>
    </row>
    <row r="387" spans="2:9" ht="12.75">
      <c r="B387" s="68"/>
      <c r="I387" s="69"/>
    </row>
    <row r="388" spans="2:9" ht="12.75">
      <c r="B388" s="68"/>
      <c r="I388" s="69"/>
    </row>
    <row r="389" spans="4:11" ht="12.75">
      <c r="D389" s="68"/>
      <c r="K389" s="5"/>
    </row>
    <row r="390" ht="12.75">
      <c r="K390" s="5"/>
    </row>
    <row r="391" ht="12.75">
      <c r="K391" s="5"/>
    </row>
    <row r="392" spans="2:11" ht="12.75">
      <c r="B392" s="70"/>
      <c r="K392" s="5"/>
    </row>
    <row r="393" spans="2:11" ht="12.75">
      <c r="B393" s="68"/>
      <c r="K393" s="5"/>
    </row>
    <row r="394" spans="2:11" ht="12.75">
      <c r="B394" s="68"/>
      <c r="K394" s="5"/>
    </row>
    <row r="395" spans="2:11" ht="12.75">
      <c r="B395" s="68"/>
      <c r="K395" s="5"/>
    </row>
    <row r="396" spans="2:11" ht="12.75">
      <c r="B396" s="68"/>
      <c r="K396" s="5"/>
    </row>
    <row r="397" spans="2:11" ht="12.75">
      <c r="B397" s="68"/>
      <c r="K397" s="5"/>
    </row>
    <row r="398" spans="2:11" ht="12.75">
      <c r="B398" s="68"/>
      <c r="K398" s="5"/>
    </row>
    <row r="399" spans="2:11" ht="12.75">
      <c r="B399" s="68"/>
      <c r="K399" s="5"/>
    </row>
    <row r="400" spans="2:11" ht="12.75">
      <c r="B400" s="68"/>
      <c r="K400" s="5"/>
    </row>
    <row r="401" spans="2:11" ht="12.75">
      <c r="B401" s="68"/>
      <c r="K401" s="5"/>
    </row>
    <row r="402" spans="2:11" ht="12.75">
      <c r="B402" s="68"/>
      <c r="K402" s="5"/>
    </row>
    <row r="403" spans="2:11" ht="12.75">
      <c r="B403" s="68"/>
      <c r="K403" s="5"/>
    </row>
    <row r="404" spans="2:11" ht="12.75">
      <c r="B404" s="68"/>
      <c r="K404" s="5"/>
    </row>
    <row r="405" spans="2:11" s="72" customFormat="1" ht="12.75">
      <c r="B405" s="71"/>
      <c r="K405" s="73"/>
    </row>
    <row r="406" spans="2:11" ht="12.75">
      <c r="B406" s="68"/>
      <c r="J406" s="72"/>
      <c r="K406" s="5"/>
    </row>
    <row r="407" spans="2:11" ht="12.75">
      <c r="B407" s="68"/>
      <c r="J407" s="72"/>
      <c r="K407" s="5"/>
    </row>
    <row r="408" spans="2:11" ht="12.75">
      <c r="B408" s="68"/>
      <c r="J408" s="72"/>
      <c r="K408" s="5"/>
    </row>
    <row r="409" spans="2:11" ht="12.75">
      <c r="B409" s="68"/>
      <c r="J409" s="72"/>
      <c r="K409" s="5"/>
    </row>
    <row r="410" spans="2:11" ht="12.75">
      <c r="B410" s="68"/>
      <c r="J410" s="72"/>
      <c r="K410" s="5"/>
    </row>
    <row r="411" spans="2:11" ht="12.75">
      <c r="B411" s="68"/>
      <c r="J411" s="72"/>
      <c r="K411" s="5"/>
    </row>
    <row r="412" spans="2:11" ht="12.75">
      <c r="B412" s="68"/>
      <c r="J412" s="72"/>
      <c r="K412" s="5"/>
    </row>
    <row r="413" spans="2:11" ht="12.75">
      <c r="B413" s="68"/>
      <c r="J413" s="72"/>
      <c r="K413" s="5"/>
    </row>
    <row r="414" spans="2:11" ht="12.75">
      <c r="B414" s="68"/>
      <c r="J414" s="72"/>
      <c r="K414" s="5"/>
    </row>
    <row r="415" spans="2:11" ht="12.75">
      <c r="B415" s="68"/>
      <c r="J415" s="72"/>
      <c r="K415" s="5"/>
    </row>
    <row r="416" spans="2:11" ht="12.75">
      <c r="B416" s="68"/>
      <c r="J416" s="72"/>
      <c r="K416" s="5"/>
    </row>
    <row r="417" spans="2:11" ht="12.75">
      <c r="B417" s="68"/>
      <c r="J417" s="72"/>
      <c r="K417" s="5"/>
    </row>
    <row r="418" spans="2:11" ht="12.75">
      <c r="B418" s="68"/>
      <c r="J418" s="72"/>
      <c r="K418" s="5"/>
    </row>
    <row r="419" spans="2:11" ht="12.75">
      <c r="B419" s="68"/>
      <c r="J419" s="72"/>
      <c r="K419" s="5"/>
    </row>
    <row r="420" spans="2:11" ht="12.75">
      <c r="B420" s="68"/>
      <c r="J420" s="72"/>
      <c r="K420" s="5"/>
    </row>
    <row r="421" spans="2:11" ht="12.75">
      <c r="B421" s="68"/>
      <c r="J421" s="72"/>
      <c r="K421" s="5"/>
    </row>
    <row r="422" spans="2:11" ht="12.75">
      <c r="B422" s="68"/>
      <c r="J422" s="72"/>
      <c r="K422" s="5"/>
    </row>
    <row r="423" ht="12.75">
      <c r="K423" s="5"/>
    </row>
    <row r="424" ht="12.75">
      <c r="K424" s="5"/>
    </row>
    <row r="425" ht="12.75">
      <c r="K425" s="5"/>
    </row>
    <row r="426" ht="12.75">
      <c r="K426" s="5"/>
    </row>
    <row r="427" ht="12.75">
      <c r="K427" s="5"/>
    </row>
    <row r="428" ht="12.75">
      <c r="K428" s="5"/>
    </row>
    <row r="429" ht="12.75">
      <c r="K429" s="5"/>
    </row>
    <row r="430" ht="12.75">
      <c r="K430" s="5"/>
    </row>
    <row r="431" ht="12.75">
      <c r="K431" s="5"/>
    </row>
    <row r="432" ht="12.75">
      <c r="K432" s="5"/>
    </row>
    <row r="433" ht="12.75">
      <c r="K433" s="5"/>
    </row>
    <row r="434" ht="12.75">
      <c r="K434" s="5"/>
    </row>
    <row r="435" ht="12.75">
      <c r="K435" s="5"/>
    </row>
    <row r="436" ht="12.75">
      <c r="K436" s="5"/>
    </row>
    <row r="437" ht="12.75">
      <c r="K437" s="5"/>
    </row>
    <row r="438" ht="12.75">
      <c r="K438" s="5"/>
    </row>
    <row r="439" ht="12.75">
      <c r="K439" s="5"/>
    </row>
    <row r="440" ht="12.75">
      <c r="K440" s="5"/>
    </row>
    <row r="441" ht="12.75">
      <c r="K441" s="5"/>
    </row>
    <row r="442" ht="12.75">
      <c r="K442" s="5"/>
    </row>
    <row r="443" ht="12.75">
      <c r="K443" s="5"/>
    </row>
    <row r="444" ht="12.75">
      <c r="K444" s="5"/>
    </row>
    <row r="445" ht="12.75">
      <c r="K445" s="5"/>
    </row>
    <row r="446" ht="12.75">
      <c r="K446" s="5"/>
    </row>
    <row r="447" ht="12.75">
      <c r="K447" s="5"/>
    </row>
    <row r="448" ht="12.75">
      <c r="K448" s="5"/>
    </row>
    <row r="449" ht="12.75">
      <c r="K449" s="5"/>
    </row>
    <row r="450" ht="12.75">
      <c r="K450" s="5"/>
    </row>
    <row r="451" ht="12.75">
      <c r="K451" s="5"/>
    </row>
    <row r="452" ht="12.75">
      <c r="K452" s="5"/>
    </row>
  </sheetData>
  <sheetProtection/>
  <mergeCells count="7">
    <mergeCell ref="J4:K4"/>
    <mergeCell ref="J5:K5"/>
    <mergeCell ref="B4:C4"/>
    <mergeCell ref="B5:C5"/>
    <mergeCell ref="D5:G5"/>
    <mergeCell ref="H4:I4"/>
    <mergeCell ref="H5:I5"/>
  </mergeCells>
  <printOptions horizontalCentered="1" verticalCentered="1"/>
  <pageMargins left="0.7874015748031497" right="0.7874015748031497" top="0.5905511811023623" bottom="0.5905511811023623" header="0.5118110236220472" footer="0.3937007874015748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Orhan KARAKAYA</cp:lastModifiedBy>
  <cp:lastPrinted>2021-04-06T11:22:28Z</cp:lastPrinted>
  <dcterms:created xsi:type="dcterms:W3CDTF">1997-09-03T09:47:24Z</dcterms:created>
  <dcterms:modified xsi:type="dcterms:W3CDTF">2022-06-16T14:07:25Z</dcterms:modified>
  <cp:category/>
  <cp:version/>
  <cp:contentType/>
  <cp:contentStatus/>
</cp:coreProperties>
</file>