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5790" windowWidth="9720" windowHeight="2370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7.11'!$BA$2:$BB$36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7.11'!$A$40:$BE$66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<sst xmlns="http://schemas.openxmlformats.org/spreadsheetml/2006/main" count="310" uniqueCount="123">
  <si>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</si>
  <si>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</si>
  <si>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</si>
  <si>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</si>
  <si>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</si>
  <si>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</si>
  <si>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</si>
  <si>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</si>
  <si>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</si>
  <si>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</si>
  <si>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</si>
  <si>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</si>
  <si>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</si>
  <si>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</si>
  <si>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</si>
  <si>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</si>
  <si>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</si>
  <si>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</si>
  <si>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</si>
  <si>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</si>
  <si>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</si>
  <si>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</si>
  <si>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</si>
  <si>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</si>
  <si>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</si>
  <si>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</si>
  <si>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</si>
  <si>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</si>
  <si>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</si>
  <si>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</si>
  <si>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</si>
  <si>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</si>
  <si>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</si>
  <si>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</si>
  <si>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</si>
  <si>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</si>
  <si>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</si>
  <si>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</si>
  <si>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</si>
  <si>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</si>
  <si>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</si>
  <si>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</si>
  <si>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</si>
  <si>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</si>
  <si>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</si>
  <si>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</si>
  <si>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</si>
  <si>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</si>
  <si>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</si>
  <si>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</si>
  <si>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</si>
  <si>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</si>
  <si>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</si>
  <si>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</si>
  <si>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</si>
  <si>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</si>
  <si>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</si>
  <si>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</si>
  <si>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</si>
  <si>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</si>
  <si>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</si>
  <si>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</si>
  <si>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</si>
  <si>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</si>
  <si>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</si>
  <si>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</si>
  <si>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</si>
  <si>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</si>
  <si>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</si>
  <si>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</si>
  <si>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</si>
  <si>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</si>
  <si>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</si>
  <si>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</si>
  <si>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</si>
  <si>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</si>
  <si>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</si>
  <si>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</si>
  <si>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</si>
  <si>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</si>
  <si>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</si>
  <si>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</si>
  <si>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</si>
  <si>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</si>
  <si>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</si>
  <si>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</si>
  <si>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</si>
  <si>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</si>
  <si>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</si>
  <si>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</si>
  <si>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</si>
  <si>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</si>
  <si>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</si>
  <si>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</si>
  <si>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</si>
  <si>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</si>
  <si>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</si>
  <si>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</si>
  <si>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</si>
  <si>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</si>
  <si>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</si>
  <si>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</si>
  <si>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</si>
  <si>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</si>
  <si>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</si>
  <si>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</si>
  <si>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</si>
  <si>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</si>
  <si>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</si>
  <si>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</si>
  <si>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</si>
  <si>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</si>
  <si>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</si>
  <si>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</si>
  <si>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</si>
  <si>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</si>
  <si>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</si>
  <si>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2017</t>
  </si>
  <si>
    <t>2018</t>
  </si>
  <si>
    <t xml:space="preserve">                General Total</t>
  </si>
  <si>
    <t>2019</t>
  </si>
  <si>
    <t>Kaynak: SPK</t>
  </si>
  <si>
    <t>2020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</si>
</sst>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0.0_)"/>
    <numFmt numFmtId="187" formatCode="#,##0.0_);\(#,##0.0\)"/>
    <numFmt numFmtId="188" formatCode="0_)"/>
    <numFmt numFmtId="189" formatCode="0.0"/>
    <numFmt numFmtId="190" formatCode="#,##0.0"/>
    <numFmt numFmtId="191" formatCode="#,##0_);\(#,##0\)"/>
    <numFmt numFmtId="192" formatCode="General_)"/>
    <numFmt numFmtId="193" formatCode="0.00_)"/>
    <numFmt numFmtId="194" formatCode="0.000_)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  <numFmt numFmtId="199" formatCode="_-* #,##0.0\ _T_L_-;\-* #,##0.0\ _T_L_-;_-* &quot;-&quot;??\ _T_L_-;_-@_-"/>
    <numFmt numFmtId="200" formatCode="_-* #,##0\ _T_L_-;\-* #,##0\ _T_L_-;_-* &quot;-&quot;??\ _T_L_-;_-@_-"/>
    <numFmt numFmtId="201" formatCode="_-* #,##0\ &quot;YTL&quot;_-;\-* #,##0\ &quot;YTL&quot;_-;_-* &quot;-&quot;\ &quot;YTL&quot;_-;_-@_-"/>
    <numFmt numFmtId="202" formatCode="_-* #,##0\ _Y_T_L_-;\-* #,##0\ _Y_T_L_-;_-* &quot;-&quot;\ _Y_T_L_-;_-@_-"/>
    <numFmt numFmtId="203" formatCode="_-* #,##0.00\ &quot;YTL&quot;_-;\-* #,##0.00\ &quot;YTL&quot;_-;_-* &quot;-&quot;??\ &quot;YTL&quot;_-;_-@_-"/>
    <numFmt numFmtId="204" formatCode="_-* #,##0.00\ _Y_T_L_-;\-* #,##0.00\ _Y_T_L_-;_-* &quot;-&quot;??\ _Y_T_L_-;_-@_-"/>
    <numFmt numFmtId="205" formatCode="#,##0.0_);\(#,##0.000\)"/>
    <numFmt numFmtId="206" formatCode="dd/mm/yy"/>
    <numFmt numFmtId="207" formatCode="yyyy"/>
    <numFmt numFmtId="208" formatCode="mm"/>
    <numFmt numFmtId="209" formatCode="#,##0.000000"/>
    <numFmt numFmtId="210" formatCode="#,##0.0000"/>
    <numFmt numFmtId="211" formatCode="0.000000"/>
    <numFmt numFmtId="212" formatCode="0.00000"/>
    <numFmt numFmtId="213" formatCode="[$-41F]d\ mmmm;@"/>
    <numFmt numFmtId="214" formatCode="#,##0.00;[Red]#,##0.00"/>
  </numFmts>
  <fonts count="6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</borders>
  <cellStyleXfs count="76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42" fillId="0" borderId="0">
      <alignment/>
      <protection/>
    </xf>
    <xf numFmtId="192" fontId="24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192" fontId="24" fillId="0" borderId="0">
      <alignment/>
      <protection/>
    </xf>
    <xf numFmtId="0" fontId="4" fillId="0" borderId="0">
      <alignment/>
      <protection/>
    </xf>
    <xf numFmtId="188" fontId="0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4">
    <xf numFmtId="188" fontId="0" fillId="0" borderId="0" xfId="0" applyAlignment="1">
      <alignment/>
    </xf>
    <xf numFmtId="191" fontId="5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88" fontId="7" fillId="0" borderId="0" xfId="0" applyFont="1" applyAlignment="1">
      <alignment/>
    </xf>
    <xf numFmtId="188" fontId="8" fillId="0" borderId="0" xfId="0" applyFont="1" applyAlignment="1" applyProtection="1">
      <alignment/>
      <protection/>
    </xf>
    <xf numFmtId="188" fontId="7" fillId="0" borderId="0" xfId="0" applyFont="1" applyAlignment="1" applyProtection="1">
      <alignment/>
      <protection/>
    </xf>
    <xf numFmtId="188" fontId="9" fillId="0" borderId="0" xfId="0" applyFont="1" applyAlignment="1" applyProtection="1">
      <alignment/>
      <protection/>
    </xf>
    <xf numFmtId="188" fontId="9" fillId="0" borderId="0" xfId="0" applyFont="1" applyAlignment="1" applyProtection="1">
      <alignment horizontal="right"/>
      <protection/>
    </xf>
    <xf numFmtId="188" fontId="9" fillId="0" borderId="0" xfId="0" applyFont="1" applyBorder="1" applyAlignment="1" applyProtection="1">
      <alignment/>
      <protection/>
    </xf>
    <xf numFmtId="188" fontId="6" fillId="0" borderId="0" xfId="0" applyFont="1" applyAlignment="1" applyProtection="1">
      <alignment/>
      <protection/>
    </xf>
    <xf numFmtId="188" fontId="6" fillId="0" borderId="0" xfId="0" applyFont="1" applyAlignment="1">
      <alignment/>
    </xf>
    <xf numFmtId="188" fontId="9" fillId="0" borderId="10" xfId="0" applyFont="1" applyBorder="1" applyAlignment="1" applyProtection="1">
      <alignment/>
      <protection/>
    </xf>
    <xf numFmtId="188" fontId="9" fillId="0" borderId="10" xfId="0" applyFont="1" applyBorder="1" applyAlignment="1" applyProtection="1">
      <alignment horizontal="right"/>
      <protection/>
    </xf>
    <xf numFmtId="188" fontId="11" fillId="0" borderId="11" xfId="0" applyFont="1" applyBorder="1" applyAlignment="1" applyProtection="1">
      <alignment/>
      <protection/>
    </xf>
    <xf numFmtId="188" fontId="11" fillId="0" borderId="0" xfId="0" applyFont="1" applyAlignment="1" applyProtection="1">
      <alignment/>
      <protection/>
    </xf>
    <xf numFmtId="188" fontId="8" fillId="0" borderId="0" xfId="0" applyFont="1" applyBorder="1" applyAlignment="1" applyProtection="1">
      <alignment/>
      <protection/>
    </xf>
    <xf numFmtId="188" fontId="11" fillId="0" borderId="12" xfId="0" applyFont="1" applyBorder="1" applyAlignment="1" applyProtection="1">
      <alignment/>
      <protection/>
    </xf>
    <xf numFmtId="188" fontId="11" fillId="0" borderId="10" xfId="0" applyFont="1" applyBorder="1" applyAlignment="1" applyProtection="1">
      <alignment/>
      <protection/>
    </xf>
    <xf numFmtId="186" fontId="7" fillId="0" borderId="0" xfId="0" applyNumberFormat="1" applyFont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8" fontId="7" fillId="0" borderId="0" xfId="0" applyFont="1" applyBorder="1" applyAlignment="1" applyProtection="1">
      <alignment/>
      <protection/>
    </xf>
    <xf numFmtId="188" fontId="13" fillId="0" borderId="0" xfId="0" applyFont="1" applyAlignment="1" applyProtection="1">
      <alignment/>
      <protection/>
    </xf>
    <xf numFmtId="186" fontId="11" fillId="0" borderId="0" xfId="0" applyNumberFormat="1" applyFont="1" applyAlignment="1" applyProtection="1">
      <alignment/>
      <protection/>
    </xf>
    <xf numFmtId="188" fontId="9" fillId="0" borderId="13" xfId="0" applyFont="1" applyBorder="1" applyAlignment="1" applyProtection="1">
      <alignment/>
      <protection/>
    </xf>
    <xf numFmtId="188" fontId="9" fillId="0" borderId="14" xfId="0" applyFont="1" applyBorder="1" applyAlignment="1" applyProtection="1">
      <alignment horizontal="right"/>
      <protection/>
    </xf>
    <xf numFmtId="188" fontId="6" fillId="0" borderId="0" xfId="0" applyFont="1" applyBorder="1" applyAlignment="1" applyProtection="1">
      <alignment/>
      <protection/>
    </xf>
    <xf numFmtId="187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/>
      <protection/>
    </xf>
    <xf numFmtId="188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6" fontId="5" fillId="0" borderId="0" xfId="60" applyNumberFormat="1" applyFont="1" applyProtection="1">
      <alignment/>
      <protection/>
    </xf>
    <xf numFmtId="186" fontId="5" fillId="0" borderId="10" xfId="60" applyNumberFormat="1" applyFont="1" applyBorder="1" applyProtection="1">
      <alignment/>
      <protection/>
    </xf>
    <xf numFmtId="190" fontId="5" fillId="0" borderId="0" xfId="60" applyNumberFormat="1" applyFont="1" applyFill="1" applyProtection="1">
      <alignment/>
      <protection/>
    </xf>
    <xf numFmtId="188" fontId="9" fillId="0" borderId="15" xfId="0" applyFont="1" applyBorder="1" applyAlignment="1" applyProtection="1">
      <alignment/>
      <protection/>
    </xf>
    <xf numFmtId="188" fontId="9" fillId="0" borderId="15" xfId="0" applyFont="1" applyBorder="1" applyAlignment="1" applyProtection="1">
      <alignment horizontal="right"/>
      <protection/>
    </xf>
    <xf numFmtId="190" fontId="5" fillId="0" borderId="0" xfId="0" applyNumberFormat="1" applyFont="1" applyBorder="1" applyAlignment="1" applyProtection="1">
      <alignment/>
      <protection/>
    </xf>
    <xf numFmtId="190" fontId="5" fillId="0" borderId="10" xfId="0" applyNumberFormat="1" applyFont="1" applyBorder="1" applyAlignment="1" applyProtection="1">
      <alignment/>
      <protection/>
    </xf>
    <xf numFmtId="190" fontId="5" fillId="0" borderId="10" xfId="60" applyNumberFormat="1" applyFont="1" applyBorder="1" applyProtection="1">
      <alignment/>
      <protection/>
    </xf>
    <xf numFmtId="187" fontId="12" fillId="0" borderId="0" xfId="0" applyNumberFormat="1" applyFont="1" applyBorder="1" applyAlignment="1" applyProtection="1">
      <alignment/>
      <protection/>
    </xf>
    <xf numFmtId="187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60" applyNumberFormat="1" applyFont="1" applyBorder="1" applyProtection="1">
      <alignment/>
      <protection/>
    </xf>
    <xf numFmtId="3" fontId="5" fillId="0" borderId="10" xfId="60" applyNumberFormat="1" applyFont="1" applyBorder="1" applyProtection="1">
      <alignment/>
      <protection/>
    </xf>
    <xf numFmtId="188" fontId="11" fillId="0" borderId="11" xfId="0" applyFont="1" applyFill="1" applyBorder="1" applyAlignment="1" applyProtection="1">
      <alignment/>
      <protection/>
    </xf>
    <xf numFmtId="188" fontId="7" fillId="0" borderId="0" xfId="0" applyFont="1" applyFill="1" applyAlignment="1" applyProtection="1">
      <alignment/>
      <protection/>
    </xf>
    <xf numFmtId="188" fontId="7" fillId="0" borderId="0" xfId="0" applyFont="1" applyFill="1" applyAlignment="1">
      <alignment/>
    </xf>
    <xf numFmtId="188" fontId="7" fillId="0" borderId="0" xfId="0" applyFont="1" applyBorder="1" applyAlignment="1">
      <alignment/>
    </xf>
    <xf numFmtId="188" fontId="19" fillId="0" borderId="0" xfId="0" applyFont="1" applyAlignment="1" applyProtection="1" quotePrefix="1">
      <alignment/>
      <protection/>
    </xf>
    <xf numFmtId="188" fontId="19" fillId="0" borderId="0" xfId="0" applyFont="1" applyAlignment="1" applyProtection="1" quotePrefix="1">
      <alignment horizontal="right"/>
      <protection/>
    </xf>
    <xf numFmtId="188" fontId="20" fillId="0" borderId="0" xfId="0" applyFont="1" applyAlignment="1">
      <alignment/>
    </xf>
    <xf numFmtId="194" fontId="8" fillId="0" borderId="0" xfId="0" applyNumberFormat="1" applyFont="1" applyAlignment="1" applyProtection="1">
      <alignment/>
      <protection/>
    </xf>
    <xf numFmtId="188" fontId="7" fillId="0" borderId="16" xfId="0" applyFont="1" applyBorder="1" applyAlignment="1">
      <alignment/>
    </xf>
    <xf numFmtId="188" fontId="9" fillId="0" borderId="0" xfId="0" applyFont="1" applyBorder="1" applyAlignment="1" applyProtection="1">
      <alignment horizontal="right"/>
      <protection/>
    </xf>
    <xf numFmtId="188" fontId="9" fillId="0" borderId="16" xfId="0" applyFont="1" applyBorder="1" applyAlignment="1" applyProtection="1">
      <alignment horizontal="right"/>
      <protection/>
    </xf>
    <xf numFmtId="188" fontId="9" fillId="0" borderId="17" xfId="0" applyFont="1" applyBorder="1" applyAlignment="1" applyProtection="1">
      <alignment horizontal="right"/>
      <protection/>
    </xf>
    <xf numFmtId="188" fontId="11" fillId="0" borderId="0" xfId="0" applyFont="1" applyBorder="1" applyAlignment="1" applyProtection="1">
      <alignment/>
      <protection/>
    </xf>
    <xf numFmtId="190" fontId="5" fillId="0" borderId="16" xfId="60" applyNumberFormat="1" applyFont="1" applyBorder="1" applyProtection="1">
      <alignment/>
      <protection/>
    </xf>
    <xf numFmtId="188" fontId="5" fillId="0" borderId="0" xfId="0" applyFont="1" applyBorder="1" applyAlignment="1" applyProtection="1">
      <alignment/>
      <protection/>
    </xf>
    <xf numFmtId="188" fontId="11" fillId="0" borderId="0" xfId="0" applyFont="1" applyBorder="1" applyAlignment="1" applyProtection="1">
      <alignment horizontal="center"/>
      <protection/>
    </xf>
    <xf numFmtId="188" fontId="7" fillId="0" borderId="11" xfId="0" applyFont="1" applyBorder="1" applyAlignment="1">
      <alignment/>
    </xf>
    <xf numFmtId="188" fontId="11" fillId="0" borderId="0" xfId="0" applyFont="1" applyFill="1" applyBorder="1" applyAlignment="1" applyProtection="1">
      <alignment/>
      <protection/>
    </xf>
    <xf numFmtId="188" fontId="11" fillId="0" borderId="18" xfId="0" applyFont="1" applyBorder="1" applyAlignment="1" applyProtection="1">
      <alignment/>
      <protection/>
    </xf>
    <xf numFmtId="188" fontId="21" fillId="0" borderId="0" xfId="0" applyFont="1" applyAlignment="1" applyProtection="1">
      <alignment/>
      <protection/>
    </xf>
    <xf numFmtId="188" fontId="21" fillId="0" borderId="0" xfId="0" applyFont="1" applyAlignment="1" applyProtection="1">
      <alignment horizontal="right"/>
      <protection/>
    </xf>
    <xf numFmtId="188" fontId="21" fillId="0" borderId="0" xfId="0" applyFont="1" applyAlignment="1" applyProtection="1" quotePrefix="1">
      <alignment/>
      <protection/>
    </xf>
    <xf numFmtId="190" fontId="5" fillId="0" borderId="0" xfId="60" applyNumberFormat="1" applyFont="1" applyBorder="1" applyProtection="1">
      <alignment/>
      <protection/>
    </xf>
    <xf numFmtId="187" fontId="5" fillId="33" borderId="0" xfId="0" applyNumberFormat="1" applyFont="1" applyFill="1" applyBorder="1" applyAlignment="1" applyProtection="1">
      <alignment/>
      <protection/>
    </xf>
    <xf numFmtId="186" fontId="5" fillId="33" borderId="0" xfId="0" applyNumberFormat="1" applyFont="1" applyFill="1" applyBorder="1" applyAlignment="1" applyProtection="1">
      <alignment/>
      <protection/>
    </xf>
    <xf numFmtId="190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60" applyNumberFormat="1" applyFont="1" applyFill="1" applyBorder="1" applyProtection="1">
      <alignment/>
      <protection/>
    </xf>
    <xf numFmtId="186" fontId="5" fillId="33" borderId="0" xfId="60" applyNumberFormat="1" applyFont="1" applyFill="1" applyBorder="1" applyProtection="1">
      <alignment/>
      <protection/>
    </xf>
    <xf numFmtId="188" fontId="5" fillId="33" borderId="0" xfId="60" applyNumberFormat="1" applyFont="1" applyFill="1" applyBorder="1" applyProtection="1">
      <alignment/>
      <protection/>
    </xf>
    <xf numFmtId="187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60" applyNumberFormat="1" applyFont="1" applyBorder="1" applyProtection="1">
      <alignment/>
      <protection/>
    </xf>
    <xf numFmtId="3" fontId="5" fillId="0" borderId="0" xfId="60" applyNumberFormat="1" applyFont="1" applyFill="1" applyBorder="1" applyProtection="1">
      <alignment/>
      <protection/>
    </xf>
    <xf numFmtId="187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60" applyNumberFormat="1" applyFont="1" applyFill="1" applyBorder="1" applyProtection="1">
      <alignment/>
      <protection/>
    </xf>
    <xf numFmtId="3" fontId="18" fillId="0" borderId="0" xfId="60" applyNumberFormat="1" applyFont="1" applyBorder="1" applyProtection="1">
      <alignment/>
      <protection/>
    </xf>
    <xf numFmtId="190" fontId="5" fillId="0" borderId="17" xfId="6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188" fontId="9" fillId="0" borderId="19" xfId="0" applyFont="1" applyBorder="1" applyAlignment="1" applyProtection="1">
      <alignment/>
      <protection/>
    </xf>
    <xf numFmtId="188" fontId="6" fillId="0" borderId="20" xfId="0" applyFont="1" applyBorder="1" applyAlignment="1" applyProtection="1">
      <alignment/>
      <protection/>
    </xf>
    <xf numFmtId="188" fontId="7" fillId="0" borderId="21" xfId="0" applyFont="1" applyBorder="1" applyAlignment="1" applyProtection="1">
      <alignment/>
      <protection/>
    </xf>
    <xf numFmtId="188" fontId="7" fillId="0" borderId="21" xfId="0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49" fontId="9" fillId="0" borderId="15" xfId="0" applyNumberFormat="1" applyFont="1" applyBorder="1" applyAlignment="1" applyProtection="1">
      <alignment horizontal="center"/>
      <protection/>
    </xf>
    <xf numFmtId="49" fontId="9" fillId="0" borderId="22" xfId="0" applyNumberFormat="1" applyFont="1" applyBorder="1" applyAlignment="1" applyProtection="1">
      <alignment horizontal="center"/>
      <protection/>
    </xf>
    <xf numFmtId="188" fontId="9" fillId="0" borderId="15" xfId="0" applyFont="1" applyBorder="1" applyAlignment="1" applyProtection="1">
      <alignment horizontal="center"/>
      <protection/>
    </xf>
    <xf numFmtId="188" fontId="9" fillId="0" borderId="11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right"/>
      <protection/>
    </xf>
    <xf numFmtId="188" fontId="9" fillId="0" borderId="0" xfId="0" applyFont="1" applyBorder="1" applyAlignment="1" applyProtection="1" quotePrefix="1">
      <alignment horizontal="right"/>
      <protection/>
    </xf>
    <xf numFmtId="188" fontId="6" fillId="0" borderId="21" xfId="0" applyFont="1" applyBorder="1" applyAlignment="1" applyProtection="1">
      <alignment/>
      <protection/>
    </xf>
    <xf numFmtId="188" fontId="11" fillId="0" borderId="13" xfId="0" applyFont="1" applyBorder="1" applyAlignment="1" applyProtection="1">
      <alignment/>
      <protection/>
    </xf>
    <xf numFmtId="188" fontId="11" fillId="0" borderId="14" xfId="0" applyFont="1" applyBorder="1" applyAlignment="1" applyProtection="1">
      <alignment/>
      <protection/>
    </xf>
    <xf numFmtId="188" fontId="5" fillId="0" borderId="14" xfId="0" applyFont="1" applyBorder="1" applyAlignment="1" applyProtection="1">
      <alignment/>
      <protection/>
    </xf>
    <xf numFmtId="188" fontId="7" fillId="0" borderId="23" xfId="0" applyFont="1" applyBorder="1" applyAlignment="1" applyProtection="1">
      <alignment/>
      <protection/>
    </xf>
    <xf numFmtId="188" fontId="7" fillId="0" borderId="24" xfId="0" applyFont="1" applyBorder="1" applyAlignment="1" applyProtection="1">
      <alignment/>
      <protection/>
    </xf>
  </cellXfs>
  <cellStyles count="6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3" xfId="42"/>
    <cellStyle name="Comma_Tablo-5-3-1" xfId="43"/>
    <cellStyle name="Çıkış" xfId="44"/>
    <cellStyle name="Giriş" xfId="45"/>
    <cellStyle name="Hesaplama" xfId="46"/>
    <cellStyle name="Hyperlink 2" xfId="47"/>
    <cellStyle name="İşaretli Hücre" xfId="48"/>
    <cellStyle name="İyi" xfId="49"/>
    <cellStyle name="Followed Hyperlink" xfId="50"/>
    <cellStyle name="Hyperlink" xfId="51"/>
    <cellStyle name="Köprü 2" xfId="52"/>
    <cellStyle name="Kötü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_Sheet1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irgül 2" xfId="68"/>
    <cellStyle name="Vurgu1" xfId="69"/>
    <cellStyle name="Vurgu2" xfId="70"/>
    <cellStyle name="Vurgu3" xfId="71"/>
    <cellStyle name="Vurgu4" xfId="72"/>
    <cellStyle name="Vurgu5" xfId="73"/>
    <cellStyle name="Vurgu6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249"/>
  <sheetViews>
    <sheetView tabSelected="1" defaultGridColor="0" view="pageBreakPreview" zoomScale="70" zoomScaleNormal="75" zoomScaleSheetLayoutView="70" colorId="22" workbookViewId="0" topLeftCell="A36">
      <pane xSplit="47" ySplit="13" topLeftCell="AV49" activePane="bottomRight" state="frozen"/>
      <selection pane="topLeft" activeCell="A36" sqref="A36"/>
      <selection pane="topRight" activeCell="AV36" sqref="AV36"/>
      <selection pane="bottomLeft" activeCell="A49" sqref="A49"/>
      <selection pane="bottomRight" activeCell="BH58" sqref="BH58"/>
    </sheetView>
  </sheetViews>
  <sheetFormatPr defaultColWidth="8.7968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3984375" style="3" hidden="1" customWidth="1"/>
    <col min="30" max="43" width="19.3984375" style="3" hidden="1" customWidth="1"/>
    <col min="44" max="44" width="13.19921875" style="3" hidden="1" customWidth="1"/>
    <col min="45" max="45" width="10.3984375" style="3" hidden="1" customWidth="1"/>
    <col min="46" max="51" width="19.3984375" style="3" customWidth="1"/>
    <col min="52" max="52" width="28.59765625" style="3" customWidth="1"/>
    <col min="53" max="53" width="11.69921875" style="3" customWidth="1"/>
    <col min="54" max="54" width="9.69921875" style="3" customWidth="1"/>
    <col min="55" max="55" width="13" style="3" customWidth="1"/>
    <col min="56" max="57" width="11.69921875" style="3" customWidth="1"/>
    <col min="58" max="58" width="21.69921875" style="3" customWidth="1"/>
    <col min="59" max="66" width="11.69921875" style="3" customWidth="1"/>
    <col min="67" max="16384" width="8.8984375" style="3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</row>
    <row r="2" spans="1:58" s="10" customFormat="1" ht="23.25" customHeight="1">
      <c r="A2" s="6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99</v>
      </c>
      <c r="BB2" s="6"/>
      <c r="BC2" s="9"/>
      <c r="BD2" s="9"/>
      <c r="BE2" s="9"/>
      <c r="BF2" s="9"/>
    </row>
    <row r="3" spans="1:58" s="10" customFormat="1" ht="23.25" customHeight="1">
      <c r="A3" s="11" t="s">
        <v>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105</v>
      </c>
      <c r="BB3" s="6"/>
      <c r="BC3" s="9"/>
      <c r="BD3" s="9"/>
      <c r="BE3" s="9"/>
      <c r="BF3" s="9"/>
    </row>
    <row r="4" spans="1:62" s="10" customFormat="1" ht="21.75" customHeight="1">
      <c r="A4" s="64"/>
      <c r="B4" s="35" t="s">
        <v>41</v>
      </c>
      <c r="C4" s="35"/>
      <c r="D4" s="35" t="s">
        <v>42</v>
      </c>
      <c r="E4" s="35"/>
      <c r="F4" s="35" t="s">
        <v>43</v>
      </c>
      <c r="G4" s="35"/>
      <c r="H4" s="35" t="s">
        <v>44</v>
      </c>
      <c r="I4" s="35"/>
      <c r="J4" s="35" t="s">
        <v>45</v>
      </c>
      <c r="K4" s="35"/>
      <c r="L4" s="36" t="s">
        <v>36</v>
      </c>
      <c r="M4" s="35"/>
      <c r="N4" s="36" t="s">
        <v>37</v>
      </c>
      <c r="O4" s="35"/>
      <c r="P4" s="36" t="s">
        <v>38</v>
      </c>
      <c r="Q4" s="35"/>
      <c r="R4" s="93" t="s">
        <v>39</v>
      </c>
      <c r="S4" s="93"/>
      <c r="T4" s="93" t="s">
        <v>75</v>
      </c>
      <c r="U4" s="93"/>
      <c r="V4" s="93" t="s">
        <v>76</v>
      </c>
      <c r="W4" s="93"/>
      <c r="X4" s="93" t="s">
        <v>92</v>
      </c>
      <c r="Y4" s="93"/>
      <c r="Z4" s="91" t="s">
        <v>93</v>
      </c>
      <c r="AA4" s="91"/>
      <c r="AB4" s="91" t="s">
        <v>96</v>
      </c>
      <c r="AC4" s="91"/>
      <c r="AD4" s="91" t="s">
        <v>97</v>
      </c>
      <c r="AE4" s="91"/>
      <c r="AF4" s="91" t="s">
        <v>101</v>
      </c>
      <c r="AG4" s="91"/>
      <c r="AH4" s="91" t="s">
        <v>104</v>
      </c>
      <c r="AI4" s="91"/>
      <c r="AJ4" s="91" t="s">
        <v>107</v>
      </c>
      <c r="AK4" s="91"/>
      <c r="AL4" s="84"/>
      <c r="AM4" s="84"/>
      <c r="AP4" s="91" t="s">
        <v>113</v>
      </c>
      <c r="AQ4" s="91"/>
      <c r="AT4" s="91" t="s">
        <v>114</v>
      </c>
      <c r="AU4" s="91"/>
      <c r="AV4" s="85" t="s">
        <v>115</v>
      </c>
      <c r="AW4" s="85"/>
      <c r="AX4" s="85" t="s">
        <v>116</v>
      </c>
      <c r="AY4" s="85"/>
      <c r="AZ4" s="91"/>
      <c r="BA4" s="92"/>
      <c r="BB4" s="58"/>
      <c r="BC4" s="58"/>
      <c r="BD4" s="60"/>
      <c r="BE4" s="9"/>
      <c r="BF4" s="8"/>
      <c r="BG4" s="9"/>
      <c r="BH4" s="9"/>
      <c r="BI4" s="9"/>
      <c r="BJ4" s="9"/>
    </row>
    <row r="5" spans="1:62" ht="19.5" customHeight="1">
      <c r="A5" s="13" t="s">
        <v>46</v>
      </c>
      <c r="B5" s="55"/>
      <c r="C5" s="55" t="s">
        <v>6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T5" s="49"/>
      <c r="AU5" s="49"/>
      <c r="AV5" s="49"/>
      <c r="AW5" s="49"/>
      <c r="AX5" s="49"/>
      <c r="AY5" s="49"/>
      <c r="AZ5" s="49"/>
      <c r="BA5" s="54"/>
      <c r="BB5" s="58"/>
      <c r="BC5" s="61"/>
      <c r="BD5" s="60"/>
      <c r="BE5" s="5"/>
      <c r="BF5" s="15"/>
      <c r="BG5" s="5"/>
      <c r="BH5" s="5"/>
      <c r="BI5" s="5"/>
      <c r="BJ5" s="5"/>
    </row>
    <row r="6" spans="1:62" s="10" customFormat="1" ht="19.5" customHeight="1">
      <c r="A6" s="13"/>
      <c r="B6" s="55" t="s">
        <v>47</v>
      </c>
      <c r="C6" s="55" t="s">
        <v>48</v>
      </c>
      <c r="D6" s="55" t="s">
        <v>47</v>
      </c>
      <c r="E6" s="55" t="s">
        <v>34</v>
      </c>
      <c r="F6" s="55" t="s">
        <v>47</v>
      </c>
      <c r="G6" s="55" t="s">
        <v>34</v>
      </c>
      <c r="H6" s="55" t="s">
        <v>47</v>
      </c>
      <c r="I6" s="55" t="s">
        <v>34</v>
      </c>
      <c r="J6" s="55" t="s">
        <v>47</v>
      </c>
      <c r="K6" s="55" t="s">
        <v>34</v>
      </c>
      <c r="L6" s="55" t="s">
        <v>47</v>
      </c>
      <c r="M6" s="55" t="s">
        <v>34</v>
      </c>
      <c r="N6" s="55" t="s">
        <v>47</v>
      </c>
      <c r="O6" s="55" t="s">
        <v>34</v>
      </c>
      <c r="P6" s="55" t="s">
        <v>47</v>
      </c>
      <c r="Q6" s="55" t="s">
        <v>34</v>
      </c>
      <c r="R6" s="55" t="s">
        <v>47</v>
      </c>
      <c r="S6" s="55" t="s">
        <v>34</v>
      </c>
      <c r="T6" s="55" t="s">
        <v>47</v>
      </c>
      <c r="U6" s="55" t="s">
        <v>34</v>
      </c>
      <c r="V6" s="55" t="s">
        <v>47</v>
      </c>
      <c r="W6" s="55" t="s">
        <v>34</v>
      </c>
      <c r="X6" s="55" t="s">
        <v>47</v>
      </c>
      <c r="Y6" s="55" t="s">
        <v>34</v>
      </c>
      <c r="Z6" s="55" t="s">
        <v>47</v>
      </c>
      <c r="AA6" s="55" t="s">
        <v>34</v>
      </c>
      <c r="AB6" s="55" t="s">
        <v>47</v>
      </c>
      <c r="AC6" s="55" t="s">
        <v>34</v>
      </c>
      <c r="AD6" s="55" t="s">
        <v>47</v>
      </c>
      <c r="AE6" s="55" t="s">
        <v>34</v>
      </c>
      <c r="AF6" s="55" t="s">
        <v>47</v>
      </c>
      <c r="AG6" s="55" t="s">
        <v>34</v>
      </c>
      <c r="AH6" s="55" t="s">
        <v>47</v>
      </c>
      <c r="AI6" s="55" t="s">
        <v>34</v>
      </c>
      <c r="AJ6" s="55" t="s">
        <v>47</v>
      </c>
      <c r="AK6" s="55" t="s">
        <v>34</v>
      </c>
      <c r="AL6" s="55"/>
      <c r="AM6" s="55"/>
      <c r="AN6" s="55"/>
      <c r="AO6" s="55"/>
      <c r="AP6" s="55" t="s">
        <v>47</v>
      </c>
      <c r="AQ6" s="55" t="s">
        <v>34</v>
      </c>
      <c r="AT6" s="55" t="s">
        <v>47</v>
      </c>
      <c r="AU6" s="55" t="s">
        <v>34</v>
      </c>
      <c r="AV6" s="55" t="s">
        <v>47</v>
      </c>
      <c r="AW6" s="55" t="s">
        <v>34</v>
      </c>
      <c r="AX6" s="55" t="s">
        <v>47</v>
      </c>
      <c r="AY6" s="55" t="s">
        <v>34</v>
      </c>
      <c r="AZ6" s="55"/>
      <c r="BA6" s="56"/>
      <c r="BB6" s="58"/>
      <c r="BC6" s="61"/>
      <c r="BD6" s="60"/>
      <c r="BE6" s="9"/>
      <c r="BF6" s="8"/>
      <c r="BG6" s="9"/>
      <c r="BH6" s="9"/>
      <c r="BI6" s="9"/>
      <c r="BJ6" s="9"/>
    </row>
    <row r="7" spans="1:62" s="10" customFormat="1" ht="19.5" customHeight="1">
      <c r="A7" s="16"/>
      <c r="B7" s="12" t="s">
        <v>49</v>
      </c>
      <c r="C7" s="12" t="s">
        <v>50</v>
      </c>
      <c r="D7" s="12" t="s">
        <v>49</v>
      </c>
      <c r="E7" s="12" t="s">
        <v>35</v>
      </c>
      <c r="F7" s="12" t="s">
        <v>49</v>
      </c>
      <c r="G7" s="12" t="s">
        <v>35</v>
      </c>
      <c r="H7" s="12" t="s">
        <v>49</v>
      </c>
      <c r="I7" s="12" t="s">
        <v>35</v>
      </c>
      <c r="J7" s="12" t="s">
        <v>49</v>
      </c>
      <c r="K7" s="12" t="s">
        <v>35</v>
      </c>
      <c r="L7" s="12" t="s">
        <v>49</v>
      </c>
      <c r="M7" s="12" t="s">
        <v>35</v>
      </c>
      <c r="N7" s="12" t="s">
        <v>49</v>
      </c>
      <c r="O7" s="12" t="s">
        <v>35</v>
      </c>
      <c r="P7" s="12" t="s">
        <v>49</v>
      </c>
      <c r="Q7" s="12" t="s">
        <v>35</v>
      </c>
      <c r="R7" s="12" t="s">
        <v>49</v>
      </c>
      <c r="S7" s="12" t="s">
        <v>35</v>
      </c>
      <c r="T7" s="12" t="s">
        <v>49</v>
      </c>
      <c r="U7" s="12" t="s">
        <v>35</v>
      </c>
      <c r="V7" s="12" t="s">
        <v>49</v>
      </c>
      <c r="W7" s="12" t="s">
        <v>35</v>
      </c>
      <c r="X7" s="12" t="s">
        <v>49</v>
      </c>
      <c r="Y7" s="12" t="s">
        <v>35</v>
      </c>
      <c r="Z7" s="12" t="s">
        <v>49</v>
      </c>
      <c r="AA7" s="12" t="s">
        <v>35</v>
      </c>
      <c r="AB7" s="12" t="s">
        <v>95</v>
      </c>
      <c r="AC7" s="12" t="s">
        <v>35</v>
      </c>
      <c r="AD7" s="12" t="s">
        <v>95</v>
      </c>
      <c r="AE7" s="12" t="s">
        <v>35</v>
      </c>
      <c r="AF7" s="12" t="s">
        <v>95</v>
      </c>
      <c r="AG7" s="12" t="s">
        <v>35</v>
      </c>
      <c r="AH7" s="12" t="s">
        <v>95</v>
      </c>
      <c r="AI7" s="12" t="s">
        <v>35</v>
      </c>
      <c r="AJ7" s="12" t="s">
        <v>95</v>
      </c>
      <c r="AK7" s="12" t="s">
        <v>35</v>
      </c>
      <c r="AL7" s="12"/>
      <c r="AM7" s="12"/>
      <c r="AN7" s="12"/>
      <c r="AO7" s="12"/>
      <c r="AP7" s="12" t="s">
        <v>95</v>
      </c>
      <c r="AQ7" s="12" t="s">
        <v>35</v>
      </c>
      <c r="AT7" s="12" t="s">
        <v>95</v>
      </c>
      <c r="AU7" s="12" t="s">
        <v>35</v>
      </c>
      <c r="AV7" s="12" t="s">
        <v>95</v>
      </c>
      <c r="AW7" s="12" t="s">
        <v>35</v>
      </c>
      <c r="AX7" s="12" t="s">
        <v>95</v>
      </c>
      <c r="AY7" s="12" t="s">
        <v>35</v>
      </c>
      <c r="AZ7" s="12"/>
      <c r="BA7" s="57"/>
      <c r="BB7" s="58"/>
      <c r="BC7" s="61"/>
      <c r="BD7" s="60"/>
      <c r="BE7" s="9"/>
      <c r="BF7" s="8"/>
      <c r="BG7" s="9"/>
      <c r="BH7" s="9"/>
      <c r="BI7" s="9"/>
      <c r="BJ7" s="9"/>
    </row>
    <row r="8" spans="1:62" ht="19.5" customHeight="1">
      <c r="A8" s="13"/>
      <c r="B8" s="58"/>
      <c r="C8" s="58"/>
      <c r="D8" s="58"/>
      <c r="E8" s="58"/>
      <c r="F8" s="58"/>
      <c r="G8" s="58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T8" s="49"/>
      <c r="AU8" s="49"/>
      <c r="AV8" s="49"/>
      <c r="AW8" s="49"/>
      <c r="AX8" s="49"/>
      <c r="AY8" s="49"/>
      <c r="AZ8" s="58"/>
      <c r="BA8" s="54"/>
      <c r="BB8" s="62"/>
      <c r="BC8" s="60"/>
      <c r="BD8" s="60"/>
      <c r="BE8" s="5"/>
      <c r="BF8" s="15"/>
      <c r="BG8" s="5"/>
      <c r="BH8" s="5"/>
      <c r="BI8" s="5"/>
      <c r="BJ8" s="5"/>
    </row>
    <row r="9" spans="1:63" ht="19.5" customHeight="1">
      <c r="A9" s="13" t="s">
        <v>51</v>
      </c>
      <c r="B9" s="37">
        <f>SUM(B10:B19)</f>
        <v>1738.7904000000003</v>
      </c>
      <c r="C9" s="37">
        <f aca="true" t="shared" si="0" ref="C9:C19">(B9/$B$33)*100</f>
        <v>85.62917104713412</v>
      </c>
      <c r="D9" s="37">
        <f>SUM(D10:D19)</f>
        <v>17985.296000000002</v>
      </c>
      <c r="E9" s="37">
        <f aca="true" t="shared" si="1" ref="E9:E19">(D9/$D$33)*100</f>
        <v>85.06500155096226</v>
      </c>
      <c r="F9" s="37">
        <f>SUM(F10:F19)</f>
        <v>69232.49900000001</v>
      </c>
      <c r="G9" s="37">
        <f aca="true" t="shared" si="2" ref="G9:G19">(F9/$F$33)*100</f>
        <v>93.58424296669104</v>
      </c>
      <c r="H9" s="37">
        <v>153408.8</v>
      </c>
      <c r="I9" s="37">
        <f aca="true" t="shared" si="3" ref="I9:I19">(H9/$H$33)*100</f>
        <v>88.27657640031762</v>
      </c>
      <c r="J9" s="37">
        <f>SUM(J10:J19)</f>
        <v>256215.5</v>
      </c>
      <c r="K9" s="37">
        <f aca="true" t="shared" si="4" ref="K9:K19">(J9/$J$33)*100</f>
        <v>85.81013328903538</v>
      </c>
      <c r="L9" s="37">
        <f>SUM(L10:L19)</f>
        <v>1008180.108</v>
      </c>
      <c r="M9" s="37">
        <f>(L9/$L$33)*100</f>
        <v>92.88369018553287</v>
      </c>
      <c r="N9" s="43">
        <f>SUM(N10:N19)</f>
        <v>793705.747</v>
      </c>
      <c r="O9" s="37">
        <f>(N9/$N$33)*100</f>
        <v>78.92308530493686</v>
      </c>
      <c r="P9" s="44">
        <f>SUM(P10:P19)</f>
        <v>794219.2</v>
      </c>
      <c r="Q9" s="68">
        <f aca="true" t="shared" si="5" ref="Q9:Q19">P9/P$33*100</f>
        <v>78.83775287515128</v>
      </c>
      <c r="R9" s="44">
        <f>SUM(R10:R19)</f>
        <v>112708.9</v>
      </c>
      <c r="S9" s="68">
        <f aca="true" t="shared" si="6" ref="S9:S19">R9/R$33*100</f>
        <v>30.145976744100455</v>
      </c>
      <c r="T9" s="44">
        <f>SUM(T10:T19)</f>
        <v>278989.23377</v>
      </c>
      <c r="U9" s="68">
        <f aca="true" t="shared" si="7" ref="U9:U19">T9/T$33*100</f>
        <v>46.06627929017178</v>
      </c>
      <c r="V9" s="44">
        <f>SUM(V10:V19)</f>
        <v>7774992.987624</v>
      </c>
      <c r="W9" s="68">
        <f>V9/V$33*100</f>
        <v>81.78386283446292</v>
      </c>
      <c r="X9" s="44">
        <f>SUM(X10:X19)</f>
        <v>578795.3</v>
      </c>
      <c r="Y9" s="68">
        <f>X9/X$33*100</f>
        <v>53.48317553296722</v>
      </c>
      <c r="Z9" s="44">
        <f>SUM(Z10:Z19)</f>
        <v>494346.938</v>
      </c>
      <c r="AA9" s="68">
        <f aca="true" t="shared" si="8" ref="AA9:AA19">Z9/Z$33*100</f>
        <v>51.259131144682726</v>
      </c>
      <c r="AB9" s="44">
        <f>SUM(AB10:AB19)</f>
        <v>505534.13978202996</v>
      </c>
      <c r="AC9" s="68">
        <f aca="true" t="shared" si="9" ref="AC9:AC19">AB9/AB$33*100</f>
        <v>50.9764973038974</v>
      </c>
      <c r="AD9" s="44">
        <f>SUM(AD10:AD19)</f>
        <v>407698.58672905</v>
      </c>
      <c r="AE9" s="68">
        <f aca="true" t="shared" si="10" ref="AE9:AE19">AD9/AD$33*100</f>
        <v>50.6569100620852</v>
      </c>
      <c r="AF9" s="44">
        <f>SUM(AF10:AF19)</f>
        <v>494105.34135</v>
      </c>
      <c r="AG9" s="68">
        <f aca="true" t="shared" si="11" ref="AG9:AG19">AF9/AF$33*100</f>
        <v>47.26130555450794</v>
      </c>
      <c r="AH9" s="44">
        <f>SUM(AH10:AH19)</f>
        <v>560343</v>
      </c>
      <c r="AI9" s="68">
        <f aca="true" t="shared" si="12" ref="AI9:AI19">AH9/AH$33*100</f>
        <v>44.29746512721797</v>
      </c>
      <c r="AJ9" s="44">
        <f>SUM(AJ10:AJ19)</f>
        <v>794558.80352</v>
      </c>
      <c r="AK9" s="68">
        <f aca="true" t="shared" si="13" ref="AK9:AK19">AJ9/AJ$33*100</f>
        <v>51.28926689332203</v>
      </c>
      <c r="AL9" s="68"/>
      <c r="AM9" s="68"/>
      <c r="AN9" s="44"/>
      <c r="AO9" s="68"/>
      <c r="AP9" s="44">
        <f>SUM(AP10:AP19)</f>
        <v>889038.1609</v>
      </c>
      <c r="AQ9" s="68">
        <f>AP9/AP33*100</f>
        <v>57.131729931802276</v>
      </c>
      <c r="AT9" s="44">
        <f>SUM(AT10:AT19)</f>
        <v>754780.88386</v>
      </c>
      <c r="AU9" s="68">
        <f aca="true" t="shared" si="14" ref="AU9:AU19">AT9/AT$33*100</f>
        <v>46.35154926836908</v>
      </c>
      <c r="AV9" s="44">
        <f>SUM(AV10:AV19)</f>
        <v>489764.08781</v>
      </c>
      <c r="AW9" s="68">
        <f aca="true" t="shared" si="15" ref="AW9:AW19">AV9/AV$33*100</f>
        <v>34.84113326314006</v>
      </c>
      <c r="AX9" s="44">
        <f>SUM(AX10:AX19)</f>
        <v>311451.24658000004</v>
      </c>
      <c r="AY9" s="68">
        <f aca="true" t="shared" si="16" ref="AY9:AY19">AX9/AX$33*100</f>
        <v>26.220259752316206</v>
      </c>
      <c r="AZ9" s="58" t="s">
        <v>52</v>
      </c>
      <c r="BA9" s="59"/>
      <c r="BB9" s="62"/>
      <c r="BC9" s="60"/>
      <c r="BD9" s="60"/>
      <c r="BE9" s="5"/>
      <c r="BF9" s="15"/>
      <c r="BG9" s="18"/>
      <c r="BH9" s="18"/>
      <c r="BI9" s="18"/>
      <c r="BJ9" s="18"/>
      <c r="BK9" s="18"/>
    </row>
    <row r="10" spans="1:63" ht="19.5" customHeight="1">
      <c r="A10" s="13" t="s">
        <v>53</v>
      </c>
      <c r="B10" s="37">
        <f>56392/1000</f>
        <v>56.392</v>
      </c>
      <c r="C10" s="37">
        <f t="shared" si="0"/>
        <v>2.7771031020702592</v>
      </c>
      <c r="D10" s="37">
        <f>565077.9/1000</f>
        <v>565.0779</v>
      </c>
      <c r="E10" s="37">
        <f t="shared" si="1"/>
        <v>2.6726472803068955</v>
      </c>
      <c r="F10" s="37">
        <v>1002.4</v>
      </c>
      <c r="G10" s="37">
        <f t="shared" si="2"/>
        <v>1.3549827971659825</v>
      </c>
      <c r="H10" s="37">
        <v>113.4</v>
      </c>
      <c r="I10" s="37">
        <f t="shared" si="3"/>
        <v>0.06525416901635382</v>
      </c>
      <c r="J10" s="37">
        <v>60.7</v>
      </c>
      <c r="K10" s="37">
        <f t="shared" si="4"/>
        <v>0.020329273953544762</v>
      </c>
      <c r="L10" s="37">
        <v>37.6</v>
      </c>
      <c r="M10" s="37">
        <f aca="true" t="shared" si="17" ref="M10:M19">(L10/L$33)*100</f>
        <v>0.003464090119675359</v>
      </c>
      <c r="N10" s="43">
        <v>175.7254</v>
      </c>
      <c r="O10" s="37">
        <f aca="true" t="shared" si="18" ref="O10:O19">(N10/N$33)*100</f>
        <v>0.01747346644126561</v>
      </c>
      <c r="P10" s="43">
        <v>0</v>
      </c>
      <c r="Q10" s="68">
        <f t="shared" si="5"/>
        <v>0</v>
      </c>
      <c r="R10" s="44">
        <v>0</v>
      </c>
      <c r="S10" s="68">
        <f t="shared" si="6"/>
        <v>0</v>
      </c>
      <c r="T10" s="44">
        <v>0</v>
      </c>
      <c r="U10" s="68">
        <f t="shared" si="7"/>
        <v>0</v>
      </c>
      <c r="V10" s="44">
        <v>0</v>
      </c>
      <c r="W10" s="68">
        <f aca="true" t="shared" si="19" ref="W10:Y19">V10/V$33*100</f>
        <v>0</v>
      </c>
      <c r="X10" s="44">
        <v>0</v>
      </c>
      <c r="Y10" s="68">
        <f t="shared" si="19"/>
        <v>0</v>
      </c>
      <c r="Z10" s="44">
        <v>0</v>
      </c>
      <c r="AA10" s="68">
        <f t="shared" si="8"/>
        <v>0</v>
      </c>
      <c r="AB10" s="44">
        <v>0</v>
      </c>
      <c r="AC10" s="68">
        <f t="shared" si="9"/>
        <v>0</v>
      </c>
      <c r="AD10" s="44">
        <v>0</v>
      </c>
      <c r="AE10" s="68">
        <f t="shared" si="10"/>
        <v>0</v>
      </c>
      <c r="AF10" s="44">
        <v>0</v>
      </c>
      <c r="AG10" s="68">
        <f t="shared" si="11"/>
        <v>0</v>
      </c>
      <c r="AH10" s="44">
        <v>0</v>
      </c>
      <c r="AI10" s="68">
        <f t="shared" si="12"/>
        <v>0</v>
      </c>
      <c r="AJ10" s="44">
        <v>0</v>
      </c>
      <c r="AK10" s="68">
        <f t="shared" si="13"/>
        <v>0</v>
      </c>
      <c r="AL10" s="68"/>
      <c r="AM10" s="68"/>
      <c r="AN10" s="44"/>
      <c r="AO10" s="68"/>
      <c r="AP10" s="44">
        <v>0</v>
      </c>
      <c r="AQ10" s="68">
        <f aca="true" t="shared" si="20" ref="AQ10:AQ18">AP10/AP$33*100</f>
        <v>0</v>
      </c>
      <c r="AT10" s="44">
        <v>0</v>
      </c>
      <c r="AU10" s="68">
        <f t="shared" si="14"/>
        <v>0</v>
      </c>
      <c r="AV10" s="44">
        <v>0</v>
      </c>
      <c r="AW10" s="68">
        <f t="shared" si="15"/>
        <v>0</v>
      </c>
      <c r="AX10" s="44">
        <v>0</v>
      </c>
      <c r="AY10" s="68">
        <f t="shared" si="16"/>
        <v>0</v>
      </c>
      <c r="AZ10" s="58" t="s">
        <v>54</v>
      </c>
      <c r="BA10" s="59"/>
      <c r="BB10" s="62"/>
      <c r="BC10" s="60"/>
      <c r="BD10" s="60"/>
      <c r="BE10" s="5"/>
      <c r="BF10" s="19"/>
      <c r="BG10" s="18"/>
      <c r="BH10" s="18"/>
      <c r="BI10" s="18"/>
      <c r="BJ10" s="18"/>
      <c r="BK10" s="18"/>
    </row>
    <row r="11" spans="1:63" ht="19.5" customHeight="1">
      <c r="A11" s="13" t="s">
        <v>55</v>
      </c>
      <c r="B11" s="37">
        <f>7441.3/1000</f>
        <v>7.4413</v>
      </c>
      <c r="C11" s="37">
        <f t="shared" si="0"/>
        <v>0.36645725126676515</v>
      </c>
      <c r="D11" s="37">
        <f>42650.8/1000</f>
        <v>42.650800000000004</v>
      </c>
      <c r="E11" s="37">
        <f t="shared" si="1"/>
        <v>0.20172536321613949</v>
      </c>
      <c r="F11" s="37">
        <v>152.8</v>
      </c>
      <c r="G11" s="37">
        <f t="shared" si="2"/>
        <v>0.2065456618185975</v>
      </c>
      <c r="H11" s="37">
        <v>198.3</v>
      </c>
      <c r="I11" s="37">
        <f t="shared" si="3"/>
        <v>0.11410848074023777</v>
      </c>
      <c r="J11" s="37">
        <v>25.8</v>
      </c>
      <c r="K11" s="37">
        <f t="shared" si="4"/>
        <v>0.00864077871501573</v>
      </c>
      <c r="L11" s="37">
        <v>0</v>
      </c>
      <c r="M11" s="37">
        <f t="shared" si="17"/>
        <v>0</v>
      </c>
      <c r="N11" s="43">
        <v>0</v>
      </c>
      <c r="O11" s="37">
        <f t="shared" si="18"/>
        <v>0</v>
      </c>
      <c r="P11" s="43">
        <v>0</v>
      </c>
      <c r="Q11" s="68">
        <f t="shared" si="5"/>
        <v>0</v>
      </c>
      <c r="R11" s="44">
        <v>0</v>
      </c>
      <c r="S11" s="68">
        <f t="shared" si="6"/>
        <v>0</v>
      </c>
      <c r="T11" s="44">
        <v>0</v>
      </c>
      <c r="U11" s="68">
        <f t="shared" si="7"/>
        <v>0</v>
      </c>
      <c r="V11" s="44">
        <v>0</v>
      </c>
      <c r="W11" s="68">
        <f t="shared" si="19"/>
        <v>0</v>
      </c>
      <c r="X11" s="44">
        <v>0</v>
      </c>
      <c r="Y11" s="68">
        <f t="shared" si="19"/>
        <v>0</v>
      </c>
      <c r="Z11" s="44">
        <v>0</v>
      </c>
      <c r="AA11" s="68">
        <f t="shared" si="8"/>
        <v>0</v>
      </c>
      <c r="AB11" s="44">
        <v>0</v>
      </c>
      <c r="AC11" s="68">
        <f t="shared" si="9"/>
        <v>0</v>
      </c>
      <c r="AD11" s="44">
        <v>0</v>
      </c>
      <c r="AE11" s="68">
        <f t="shared" si="10"/>
        <v>0</v>
      </c>
      <c r="AF11" s="44"/>
      <c r="AG11" s="68">
        <f t="shared" si="11"/>
        <v>0</v>
      </c>
      <c r="AH11" s="44">
        <v>0</v>
      </c>
      <c r="AI11" s="68">
        <f t="shared" si="12"/>
        <v>0</v>
      </c>
      <c r="AJ11" s="44">
        <v>0</v>
      </c>
      <c r="AK11" s="68">
        <f t="shared" si="13"/>
        <v>0</v>
      </c>
      <c r="AL11" s="68"/>
      <c r="AM11" s="68"/>
      <c r="AP11" s="44">
        <v>0</v>
      </c>
      <c r="AQ11" s="68">
        <f t="shared" si="20"/>
        <v>0</v>
      </c>
      <c r="AT11" s="44">
        <v>0</v>
      </c>
      <c r="AU11" s="68">
        <f t="shared" si="14"/>
        <v>0</v>
      </c>
      <c r="AV11" s="44">
        <v>0</v>
      </c>
      <c r="AW11" s="68">
        <f t="shared" si="15"/>
        <v>0</v>
      </c>
      <c r="AX11" s="44">
        <v>0</v>
      </c>
      <c r="AY11" s="68">
        <f t="shared" si="16"/>
        <v>0</v>
      </c>
      <c r="AZ11" s="58" t="s">
        <v>77</v>
      </c>
      <c r="BA11" s="59"/>
      <c r="BB11" s="62"/>
      <c r="BC11" s="60"/>
      <c r="BD11" s="60"/>
      <c r="BE11" s="5"/>
      <c r="BF11" s="19"/>
      <c r="BG11" s="18"/>
      <c r="BH11" s="18"/>
      <c r="BI11" s="18"/>
      <c r="BJ11" s="18"/>
      <c r="BK11" s="18"/>
    </row>
    <row r="12" spans="1:63" ht="19.5" customHeight="1">
      <c r="A12" s="13" t="s">
        <v>56</v>
      </c>
      <c r="B12" s="37">
        <f>625885/1000</f>
        <v>625.885</v>
      </c>
      <c r="C12" s="37">
        <f t="shared" si="0"/>
        <v>30.822584321166907</v>
      </c>
      <c r="D12" s="37">
        <f>3959390.8/1000</f>
        <v>3959.3907999999997</v>
      </c>
      <c r="E12" s="37">
        <f t="shared" si="1"/>
        <v>18.726719012178926</v>
      </c>
      <c r="F12" s="37">
        <v>12640.6</v>
      </c>
      <c r="G12" s="37">
        <f t="shared" si="2"/>
        <v>17.08678725644086</v>
      </c>
      <c r="H12" s="37">
        <v>80586.28</v>
      </c>
      <c r="I12" s="37">
        <f t="shared" si="3"/>
        <v>46.37205234143927</v>
      </c>
      <c r="J12" s="37">
        <v>101281.3</v>
      </c>
      <c r="K12" s="37">
        <f t="shared" si="4"/>
        <v>33.92051555306677</v>
      </c>
      <c r="L12" s="37">
        <v>664113.889</v>
      </c>
      <c r="M12" s="37">
        <f t="shared" si="17"/>
        <v>61.18485003255526</v>
      </c>
      <c r="N12" s="43">
        <v>684684.3123</v>
      </c>
      <c r="O12" s="37">
        <f t="shared" si="18"/>
        <v>68.0824078581416</v>
      </c>
      <c r="P12" s="43">
        <v>597971.5</v>
      </c>
      <c r="Q12" s="68">
        <f t="shared" si="5"/>
        <v>59.357327729402066</v>
      </c>
      <c r="R12" s="44">
        <v>62071.3</v>
      </c>
      <c r="S12" s="68">
        <f t="shared" si="6"/>
        <v>16.60206040761717</v>
      </c>
      <c r="T12" s="44">
        <v>221242.042673</v>
      </c>
      <c r="U12" s="68">
        <f t="shared" si="7"/>
        <v>36.531150649722505</v>
      </c>
      <c r="V12" s="44">
        <v>7325263.791246</v>
      </c>
      <c r="W12" s="68">
        <f t="shared" si="19"/>
        <v>77.05323594286601</v>
      </c>
      <c r="X12" s="44">
        <v>501403.3</v>
      </c>
      <c r="Y12" s="68">
        <f t="shared" si="19"/>
        <v>46.331821814567284</v>
      </c>
      <c r="Z12" s="44">
        <v>455606</v>
      </c>
      <c r="AA12" s="68">
        <f t="shared" si="8"/>
        <v>47.242059996949585</v>
      </c>
      <c r="AB12" s="44">
        <v>477487.22776656</v>
      </c>
      <c r="AC12" s="68">
        <f t="shared" si="9"/>
        <v>48.14833354159303</v>
      </c>
      <c r="AD12" s="44">
        <v>388563.25782625</v>
      </c>
      <c r="AE12" s="68">
        <f t="shared" si="10"/>
        <v>48.27932851829201</v>
      </c>
      <c r="AF12" s="44">
        <v>473552.81239</v>
      </c>
      <c r="AG12" s="68">
        <f t="shared" si="11"/>
        <v>45.29545076645297</v>
      </c>
      <c r="AH12" s="44">
        <v>529415</v>
      </c>
      <c r="AI12" s="68">
        <f t="shared" si="12"/>
        <v>41.852476965583755</v>
      </c>
      <c r="AJ12" s="44">
        <v>790843.64827</v>
      </c>
      <c r="AK12" s="68">
        <f t="shared" si="13"/>
        <v>51.04945130217481</v>
      </c>
      <c r="AL12" s="68"/>
      <c r="AM12" s="68"/>
      <c r="AP12" s="44">
        <v>883663.2169</v>
      </c>
      <c r="AQ12" s="68">
        <f t="shared" si="20"/>
        <v>56.786323106187844</v>
      </c>
      <c r="AT12" s="44">
        <v>748539.01622</v>
      </c>
      <c r="AU12" s="68">
        <f t="shared" si="14"/>
        <v>45.96823241227371</v>
      </c>
      <c r="AV12" s="44">
        <v>483576.46536</v>
      </c>
      <c r="AW12" s="68">
        <f t="shared" si="15"/>
        <v>34.40095444291165</v>
      </c>
      <c r="AX12" s="44">
        <v>307499.85269</v>
      </c>
      <c r="AY12" s="68">
        <f t="shared" si="16"/>
        <v>25.88760231293459</v>
      </c>
      <c r="AZ12" s="58" t="s">
        <v>57</v>
      </c>
      <c r="BA12" s="59"/>
      <c r="BB12" s="62"/>
      <c r="BC12" s="60"/>
      <c r="BD12" s="60"/>
      <c r="BE12" s="5"/>
      <c r="BF12" s="19"/>
      <c r="BG12" s="18"/>
      <c r="BH12" s="18"/>
      <c r="BI12" s="18"/>
      <c r="BJ12" s="18"/>
      <c r="BK12" s="18"/>
    </row>
    <row r="13" spans="1:63" ht="19.5" customHeight="1">
      <c r="A13" s="13" t="s">
        <v>7</v>
      </c>
      <c r="B13" s="37">
        <f>967469/1000</f>
        <v>967.469</v>
      </c>
      <c r="C13" s="37">
        <f t="shared" si="0"/>
        <v>47.64436730488033</v>
      </c>
      <c r="D13" s="37">
        <f>13060434.5/1000</f>
        <v>13060.4345</v>
      </c>
      <c r="E13" s="37">
        <f t="shared" si="1"/>
        <v>61.77189861088418</v>
      </c>
      <c r="F13" s="37">
        <v>54751.699</v>
      </c>
      <c r="G13" s="37">
        <f t="shared" si="2"/>
        <v>74.00998629350552</v>
      </c>
      <c r="H13" s="37">
        <v>84052.023</v>
      </c>
      <c r="I13" s="37">
        <f t="shared" si="3"/>
        <v>48.366357275206866</v>
      </c>
      <c r="J13" s="37">
        <v>154787.5</v>
      </c>
      <c r="K13" s="37">
        <f t="shared" si="4"/>
        <v>51.840485866298344</v>
      </c>
      <c r="L13" s="37">
        <v>344028.619</v>
      </c>
      <c r="M13" s="37">
        <f t="shared" si="17"/>
        <v>31.69537606285793</v>
      </c>
      <c r="N13" s="43">
        <v>108845.7093</v>
      </c>
      <c r="O13" s="37">
        <f t="shared" si="18"/>
        <v>10.82320398035402</v>
      </c>
      <c r="P13" s="43">
        <v>196247.7</v>
      </c>
      <c r="Q13" s="68">
        <f t="shared" si="5"/>
        <v>19.48042514574922</v>
      </c>
      <c r="R13" s="44">
        <v>50637.6</v>
      </c>
      <c r="S13" s="68">
        <f t="shared" si="6"/>
        <v>13.543916336483289</v>
      </c>
      <c r="T13" s="44">
        <v>57747.191097</v>
      </c>
      <c r="U13" s="68">
        <f t="shared" si="7"/>
        <v>9.535128640449269</v>
      </c>
      <c r="V13" s="44">
        <v>449729.196378</v>
      </c>
      <c r="W13" s="68">
        <f t="shared" si="19"/>
        <v>4.730626891596923</v>
      </c>
      <c r="X13" s="44">
        <v>77392</v>
      </c>
      <c r="Y13" s="68">
        <f t="shared" si="19"/>
        <v>7.151353718399922</v>
      </c>
      <c r="Z13" s="44">
        <v>38740.938</v>
      </c>
      <c r="AA13" s="68">
        <f t="shared" si="8"/>
        <v>4.017071147733139</v>
      </c>
      <c r="AB13" s="44">
        <v>28046.91201547</v>
      </c>
      <c r="AC13" s="68">
        <f t="shared" si="9"/>
        <v>2.82816376230438</v>
      </c>
      <c r="AD13" s="44">
        <v>19135.3289028</v>
      </c>
      <c r="AE13" s="68">
        <f t="shared" si="10"/>
        <v>2.377581543793197</v>
      </c>
      <c r="AF13" s="44">
        <v>20552.52896</v>
      </c>
      <c r="AG13" s="68">
        <f t="shared" si="11"/>
        <v>1.965854788054971</v>
      </c>
      <c r="AH13" s="44">
        <v>30928</v>
      </c>
      <c r="AI13" s="68">
        <f t="shared" si="12"/>
        <v>2.4449881616342086</v>
      </c>
      <c r="AJ13" s="44">
        <v>3715.15525</v>
      </c>
      <c r="AK13" s="68">
        <f t="shared" si="13"/>
        <v>0.23981559114721984</v>
      </c>
      <c r="AL13" s="68"/>
      <c r="AM13" s="68"/>
      <c r="AP13" s="44">
        <v>5374.944</v>
      </c>
      <c r="AQ13" s="68">
        <f t="shared" si="20"/>
        <v>0.34540682561443137</v>
      </c>
      <c r="AT13" s="44">
        <v>6241.86764</v>
      </c>
      <c r="AU13" s="68">
        <f t="shared" si="14"/>
        <v>0.3833168560953685</v>
      </c>
      <c r="AV13" s="44">
        <v>6187.62245</v>
      </c>
      <c r="AW13" s="68">
        <f t="shared" si="15"/>
        <v>0.44017882022840576</v>
      </c>
      <c r="AX13" s="44">
        <v>3951.39389</v>
      </c>
      <c r="AY13" s="68">
        <f t="shared" si="16"/>
        <v>0.3326574393816162</v>
      </c>
      <c r="AZ13" s="58" t="s">
        <v>58</v>
      </c>
      <c r="BA13" s="59"/>
      <c r="BB13" s="62"/>
      <c r="BC13" s="60"/>
      <c r="BD13" s="60"/>
      <c r="BE13" s="5"/>
      <c r="BF13" s="19"/>
      <c r="BG13" s="18"/>
      <c r="BH13" s="18"/>
      <c r="BI13" s="18"/>
      <c r="BJ13" s="18"/>
      <c r="BK13" s="18"/>
    </row>
    <row r="14" spans="1:63" ht="19.5" customHeight="1">
      <c r="A14" s="13" t="s">
        <v>8</v>
      </c>
      <c r="B14" s="37">
        <f>246/1000</f>
        <v>0.246</v>
      </c>
      <c r="C14" s="37">
        <f t="shared" si="0"/>
        <v>0.012114614894121219</v>
      </c>
      <c r="D14" s="37">
        <f>84434.7/1000</f>
        <v>84.43469999999999</v>
      </c>
      <c r="E14" s="37">
        <f t="shared" si="1"/>
        <v>0.3993505520540241</v>
      </c>
      <c r="F14" s="37">
        <v>25.1</v>
      </c>
      <c r="G14" s="37">
        <f t="shared" si="2"/>
        <v>0.033928639474128254</v>
      </c>
      <c r="H14" s="37">
        <v>0</v>
      </c>
      <c r="I14" s="37">
        <f t="shared" si="3"/>
        <v>0</v>
      </c>
      <c r="J14" s="37">
        <v>0</v>
      </c>
      <c r="K14" s="37">
        <f t="shared" si="4"/>
        <v>0</v>
      </c>
      <c r="L14" s="37">
        <v>0</v>
      </c>
      <c r="M14" s="37">
        <f t="shared" si="17"/>
        <v>0</v>
      </c>
      <c r="N14" s="43">
        <v>0</v>
      </c>
      <c r="O14" s="37">
        <f t="shared" si="18"/>
        <v>0</v>
      </c>
      <c r="P14" s="43">
        <v>0</v>
      </c>
      <c r="Q14" s="68">
        <f t="shared" si="5"/>
        <v>0</v>
      </c>
      <c r="R14" s="44">
        <v>0</v>
      </c>
      <c r="S14" s="68">
        <f t="shared" si="6"/>
        <v>0</v>
      </c>
      <c r="T14" s="44">
        <v>0</v>
      </c>
      <c r="U14" s="68">
        <f t="shared" si="7"/>
        <v>0</v>
      </c>
      <c r="V14" s="44">
        <v>0</v>
      </c>
      <c r="W14" s="68">
        <f t="shared" si="19"/>
        <v>0</v>
      </c>
      <c r="X14" s="44">
        <v>0</v>
      </c>
      <c r="Y14" s="68">
        <f t="shared" si="19"/>
        <v>0</v>
      </c>
      <c r="Z14" s="44">
        <v>0</v>
      </c>
      <c r="AA14" s="68">
        <f t="shared" si="8"/>
        <v>0</v>
      </c>
      <c r="AB14" s="44">
        <v>0</v>
      </c>
      <c r="AC14" s="68">
        <f t="shared" si="9"/>
        <v>0</v>
      </c>
      <c r="AD14" s="44">
        <v>0</v>
      </c>
      <c r="AE14" s="68">
        <f t="shared" si="10"/>
        <v>0</v>
      </c>
      <c r="AF14" s="44">
        <v>0</v>
      </c>
      <c r="AG14" s="68">
        <f t="shared" si="11"/>
        <v>0</v>
      </c>
      <c r="AH14" s="44">
        <v>0</v>
      </c>
      <c r="AI14" s="68">
        <f t="shared" si="12"/>
        <v>0</v>
      </c>
      <c r="AJ14" s="44">
        <v>0</v>
      </c>
      <c r="AK14" s="68">
        <f t="shared" si="13"/>
        <v>0</v>
      </c>
      <c r="AL14" s="68"/>
      <c r="AM14" s="68"/>
      <c r="AP14" s="44">
        <v>0</v>
      </c>
      <c r="AQ14" s="68">
        <f t="shared" si="20"/>
        <v>0</v>
      </c>
      <c r="AT14" s="44">
        <v>0</v>
      </c>
      <c r="AU14" s="68">
        <f t="shared" si="14"/>
        <v>0</v>
      </c>
      <c r="AV14" s="44">
        <v>0</v>
      </c>
      <c r="AW14" s="68">
        <f t="shared" si="15"/>
        <v>0</v>
      </c>
      <c r="AX14" s="44">
        <v>0</v>
      </c>
      <c r="AY14" s="68">
        <f t="shared" si="16"/>
        <v>0</v>
      </c>
      <c r="AZ14" s="58" t="s">
        <v>59</v>
      </c>
      <c r="BA14" s="59"/>
      <c r="BB14" s="62"/>
      <c r="BC14" s="60"/>
      <c r="BD14" s="60"/>
      <c r="BE14" s="5"/>
      <c r="BF14" s="19"/>
      <c r="BG14" s="18"/>
      <c r="BH14" s="18"/>
      <c r="BI14" s="18"/>
      <c r="BJ14" s="18"/>
      <c r="BK14" s="18"/>
    </row>
    <row r="15" spans="1:63" ht="19.5" customHeight="1">
      <c r="A15" s="13" t="s">
        <v>60</v>
      </c>
      <c r="B15" s="37">
        <f>719.7/1000</f>
        <v>0.7197</v>
      </c>
      <c r="C15" s="37">
        <f t="shared" si="0"/>
        <v>0.03544263552560586</v>
      </c>
      <c r="D15" s="37">
        <f>(11.7+0)/1000</f>
        <v>0.0117</v>
      </c>
      <c r="E15" s="37">
        <f t="shared" si="1"/>
        <v>5.5337455560712386E-05</v>
      </c>
      <c r="F15" s="37">
        <v>0</v>
      </c>
      <c r="G15" s="37">
        <f t="shared" si="2"/>
        <v>0</v>
      </c>
      <c r="H15" s="37">
        <v>0</v>
      </c>
      <c r="I15" s="37">
        <f t="shared" si="3"/>
        <v>0</v>
      </c>
      <c r="J15" s="37">
        <v>0</v>
      </c>
      <c r="K15" s="37">
        <f t="shared" si="4"/>
        <v>0</v>
      </c>
      <c r="L15" s="37">
        <v>0</v>
      </c>
      <c r="M15" s="37">
        <f t="shared" si="17"/>
        <v>0</v>
      </c>
      <c r="N15" s="43">
        <v>0</v>
      </c>
      <c r="O15" s="37">
        <f t="shared" si="18"/>
        <v>0</v>
      </c>
      <c r="P15" s="43">
        <v>0</v>
      </c>
      <c r="Q15" s="68">
        <f t="shared" si="5"/>
        <v>0</v>
      </c>
      <c r="R15" s="44">
        <v>0</v>
      </c>
      <c r="S15" s="68">
        <f t="shared" si="6"/>
        <v>0</v>
      </c>
      <c r="T15" s="44">
        <v>0</v>
      </c>
      <c r="U15" s="68">
        <f t="shared" si="7"/>
        <v>0</v>
      </c>
      <c r="V15" s="44">
        <v>0</v>
      </c>
      <c r="W15" s="68">
        <f t="shared" si="19"/>
        <v>0</v>
      </c>
      <c r="X15" s="44">
        <v>0</v>
      </c>
      <c r="Y15" s="68">
        <f t="shared" si="19"/>
        <v>0</v>
      </c>
      <c r="Z15" s="44">
        <v>0</v>
      </c>
      <c r="AA15" s="68">
        <f t="shared" si="8"/>
        <v>0</v>
      </c>
      <c r="AB15" s="44">
        <v>0</v>
      </c>
      <c r="AC15" s="68">
        <f t="shared" si="9"/>
        <v>0</v>
      </c>
      <c r="AD15" s="44">
        <v>0</v>
      </c>
      <c r="AE15" s="68">
        <f t="shared" si="10"/>
        <v>0</v>
      </c>
      <c r="AF15" s="44">
        <v>0</v>
      </c>
      <c r="AG15" s="68">
        <f t="shared" si="11"/>
        <v>0</v>
      </c>
      <c r="AH15" s="44">
        <v>0</v>
      </c>
      <c r="AI15" s="68">
        <f t="shared" si="12"/>
        <v>0</v>
      </c>
      <c r="AJ15" s="44">
        <v>0</v>
      </c>
      <c r="AK15" s="68">
        <f t="shared" si="13"/>
        <v>0</v>
      </c>
      <c r="AL15" s="68"/>
      <c r="AM15" s="68"/>
      <c r="AP15" s="44">
        <v>0</v>
      </c>
      <c r="AQ15" s="68">
        <f t="shared" si="20"/>
        <v>0</v>
      </c>
      <c r="AT15" s="44">
        <v>0</v>
      </c>
      <c r="AU15" s="68">
        <f t="shared" si="14"/>
        <v>0</v>
      </c>
      <c r="AV15" s="44">
        <v>0</v>
      </c>
      <c r="AW15" s="68">
        <f t="shared" si="15"/>
        <v>0</v>
      </c>
      <c r="AX15" s="44">
        <v>0</v>
      </c>
      <c r="AY15" s="68">
        <f t="shared" si="16"/>
        <v>0</v>
      </c>
      <c r="AZ15" s="58" t="s">
        <v>84</v>
      </c>
      <c r="BA15" s="59"/>
      <c r="BB15" s="62"/>
      <c r="BC15" s="60"/>
      <c r="BD15" s="60"/>
      <c r="BE15" s="5"/>
      <c r="BF15" s="15"/>
      <c r="BG15" s="18"/>
      <c r="BH15" s="18"/>
      <c r="BI15" s="18"/>
      <c r="BJ15" s="18"/>
      <c r="BK15" s="18"/>
    </row>
    <row r="16" spans="1:63" ht="19.5" customHeight="1">
      <c r="A16" s="13" t="s">
        <v>9</v>
      </c>
      <c r="B16" s="37">
        <f>48749.8/1000</f>
        <v>48.7498</v>
      </c>
      <c r="C16" s="37">
        <f t="shared" si="0"/>
        <v>2.4007522486399613</v>
      </c>
      <c r="D16" s="37">
        <f>133264.8/1000</f>
        <v>133.26479999999998</v>
      </c>
      <c r="E16" s="37">
        <f t="shared" si="1"/>
        <v>0.6303021322912157</v>
      </c>
      <c r="F16" s="37">
        <v>421</v>
      </c>
      <c r="G16" s="37">
        <f t="shared" si="2"/>
        <v>0.5690819609007169</v>
      </c>
      <c r="H16" s="37">
        <v>111.4</v>
      </c>
      <c r="I16" s="37">
        <f t="shared" si="3"/>
        <v>0.06410330183793489</v>
      </c>
      <c r="J16" s="37">
        <v>60.2</v>
      </c>
      <c r="K16" s="37">
        <f t="shared" si="4"/>
        <v>0.020161817001703372</v>
      </c>
      <c r="L16" s="37">
        <v>0</v>
      </c>
      <c r="M16" s="37">
        <f t="shared" si="17"/>
        <v>0</v>
      </c>
      <c r="N16" s="43">
        <v>0</v>
      </c>
      <c r="O16" s="37">
        <f t="shared" si="18"/>
        <v>0</v>
      </c>
      <c r="P16" s="43">
        <v>0</v>
      </c>
      <c r="Q16" s="68">
        <f t="shared" si="5"/>
        <v>0</v>
      </c>
      <c r="R16" s="44">
        <v>0</v>
      </c>
      <c r="S16" s="68">
        <f t="shared" si="6"/>
        <v>0</v>
      </c>
      <c r="T16" s="44">
        <v>0</v>
      </c>
      <c r="U16" s="68">
        <f t="shared" si="7"/>
        <v>0</v>
      </c>
      <c r="V16" s="44">
        <v>0</v>
      </c>
      <c r="W16" s="68">
        <f t="shared" si="19"/>
        <v>0</v>
      </c>
      <c r="X16" s="44">
        <v>0</v>
      </c>
      <c r="Y16" s="68">
        <f t="shared" si="19"/>
        <v>0</v>
      </c>
      <c r="Z16" s="44">
        <v>0</v>
      </c>
      <c r="AA16" s="68">
        <f t="shared" si="8"/>
        <v>0</v>
      </c>
      <c r="AB16" s="44">
        <v>0</v>
      </c>
      <c r="AC16" s="68">
        <f t="shared" si="9"/>
        <v>0</v>
      </c>
      <c r="AD16" s="44">
        <v>0</v>
      </c>
      <c r="AE16" s="68">
        <f t="shared" si="10"/>
        <v>0</v>
      </c>
      <c r="AF16" s="44">
        <v>0</v>
      </c>
      <c r="AG16" s="68">
        <f t="shared" si="11"/>
        <v>0</v>
      </c>
      <c r="AH16" s="44">
        <v>0</v>
      </c>
      <c r="AI16" s="68">
        <f t="shared" si="12"/>
        <v>0</v>
      </c>
      <c r="AJ16" s="44">
        <v>0</v>
      </c>
      <c r="AK16" s="68">
        <f t="shared" si="13"/>
        <v>0</v>
      </c>
      <c r="AL16" s="68"/>
      <c r="AM16" s="68"/>
      <c r="AP16" s="44">
        <v>0</v>
      </c>
      <c r="AQ16" s="68">
        <f t="shared" si="20"/>
        <v>0</v>
      </c>
      <c r="AT16" s="44">
        <v>0</v>
      </c>
      <c r="AU16" s="68">
        <f t="shared" si="14"/>
        <v>0</v>
      </c>
      <c r="AV16" s="44">
        <v>0</v>
      </c>
      <c r="AW16" s="68">
        <f t="shared" si="15"/>
        <v>0</v>
      </c>
      <c r="AX16" s="44">
        <v>0</v>
      </c>
      <c r="AY16" s="68">
        <f t="shared" si="16"/>
        <v>0</v>
      </c>
      <c r="AZ16" s="58" t="s">
        <v>61</v>
      </c>
      <c r="BA16" s="59"/>
      <c r="BB16" s="62"/>
      <c r="BC16" s="60"/>
      <c r="BD16" s="60"/>
      <c r="BE16" s="5"/>
      <c r="BF16" s="19"/>
      <c r="BG16" s="18"/>
      <c r="BH16" s="18"/>
      <c r="BI16" s="18"/>
      <c r="BJ16" s="18"/>
      <c r="BK16" s="18"/>
    </row>
    <row r="17" spans="1:63" ht="19.5" customHeight="1">
      <c r="A17" s="13" t="s">
        <v>62</v>
      </c>
      <c r="B17" s="37">
        <v>0</v>
      </c>
      <c r="C17" s="37">
        <f t="shared" si="0"/>
        <v>0</v>
      </c>
      <c r="D17" s="37">
        <v>0</v>
      </c>
      <c r="E17" s="37">
        <f t="shared" si="1"/>
        <v>0</v>
      </c>
      <c r="F17" s="37">
        <v>0</v>
      </c>
      <c r="G17" s="37">
        <f t="shared" si="2"/>
        <v>0</v>
      </c>
      <c r="H17" s="37">
        <v>0</v>
      </c>
      <c r="I17" s="37">
        <f t="shared" si="3"/>
        <v>0</v>
      </c>
      <c r="J17" s="37">
        <v>0</v>
      </c>
      <c r="K17" s="37">
        <f t="shared" si="4"/>
        <v>0</v>
      </c>
      <c r="L17" s="37">
        <v>0</v>
      </c>
      <c r="M17" s="37">
        <f t="shared" si="17"/>
        <v>0</v>
      </c>
      <c r="N17" s="43">
        <v>0</v>
      </c>
      <c r="O17" s="37">
        <f t="shared" si="18"/>
        <v>0</v>
      </c>
      <c r="P17" s="43">
        <v>0</v>
      </c>
      <c r="Q17" s="68">
        <f t="shared" si="5"/>
        <v>0</v>
      </c>
      <c r="R17" s="44">
        <v>0</v>
      </c>
      <c r="S17" s="68">
        <f t="shared" si="6"/>
        <v>0</v>
      </c>
      <c r="T17" s="44">
        <v>0</v>
      </c>
      <c r="U17" s="68">
        <f t="shared" si="7"/>
        <v>0</v>
      </c>
      <c r="V17" s="44">
        <v>0</v>
      </c>
      <c r="W17" s="68">
        <f t="shared" si="19"/>
        <v>0</v>
      </c>
      <c r="X17" s="44">
        <v>0</v>
      </c>
      <c r="Y17" s="68">
        <f t="shared" si="19"/>
        <v>0</v>
      </c>
      <c r="Z17" s="44">
        <v>0</v>
      </c>
      <c r="AA17" s="68">
        <f t="shared" si="8"/>
        <v>0</v>
      </c>
      <c r="AB17" s="44">
        <v>0</v>
      </c>
      <c r="AC17" s="68">
        <f t="shared" si="9"/>
        <v>0</v>
      </c>
      <c r="AD17" s="44">
        <v>0</v>
      </c>
      <c r="AE17" s="68">
        <f t="shared" si="10"/>
        <v>0</v>
      </c>
      <c r="AF17" s="44">
        <v>0</v>
      </c>
      <c r="AG17" s="68">
        <f t="shared" si="11"/>
        <v>0</v>
      </c>
      <c r="AH17" s="44">
        <v>0</v>
      </c>
      <c r="AI17" s="68">
        <f t="shared" si="12"/>
        <v>0</v>
      </c>
      <c r="AJ17" s="44">
        <v>0</v>
      </c>
      <c r="AK17" s="68">
        <f t="shared" si="13"/>
        <v>0</v>
      </c>
      <c r="AL17" s="68"/>
      <c r="AM17" s="68"/>
      <c r="AP17" s="44">
        <v>0</v>
      </c>
      <c r="AQ17" s="68">
        <f t="shared" si="20"/>
        <v>0</v>
      </c>
      <c r="AT17" s="44">
        <v>0</v>
      </c>
      <c r="AU17" s="68">
        <f t="shared" si="14"/>
        <v>0</v>
      </c>
      <c r="AV17" s="44">
        <v>0</v>
      </c>
      <c r="AW17" s="68">
        <f t="shared" si="15"/>
        <v>0</v>
      </c>
      <c r="AX17" s="44">
        <v>0</v>
      </c>
      <c r="AY17" s="68">
        <f t="shared" si="16"/>
        <v>0</v>
      </c>
      <c r="AZ17" s="58" t="s">
        <v>63</v>
      </c>
      <c r="BA17" s="59"/>
      <c r="BB17" s="62"/>
      <c r="BC17" s="60"/>
      <c r="BD17" s="60"/>
      <c r="BE17" s="5"/>
      <c r="BF17" s="15"/>
      <c r="BG17" s="18"/>
      <c r="BH17" s="18"/>
      <c r="BI17" s="18"/>
      <c r="BJ17" s="18"/>
      <c r="BK17" s="18"/>
    </row>
    <row r="18" spans="1:62" ht="19.5" customHeight="1">
      <c r="A18" s="13" t="s">
        <v>10</v>
      </c>
      <c r="B18" s="37">
        <f>31885.6/1000</f>
        <v>31.8856</v>
      </c>
      <c r="C18" s="37">
        <f t="shared" si="0"/>
        <v>1.5702510758861445</v>
      </c>
      <c r="D18" s="37">
        <f>140030.4/1000</f>
        <v>140.0304</v>
      </c>
      <c r="E18" s="37">
        <f t="shared" si="1"/>
        <v>0.6623013706964769</v>
      </c>
      <c r="F18" s="37">
        <v>238.8</v>
      </c>
      <c r="G18" s="37">
        <f t="shared" si="2"/>
        <v>0.3227951835227819</v>
      </c>
      <c r="H18" s="37">
        <v>0</v>
      </c>
      <c r="I18" s="37">
        <f t="shared" si="3"/>
        <v>0</v>
      </c>
      <c r="J18" s="37">
        <v>0</v>
      </c>
      <c r="K18" s="37">
        <f t="shared" si="4"/>
        <v>0</v>
      </c>
      <c r="L18" s="37">
        <v>0</v>
      </c>
      <c r="M18" s="37">
        <f t="shared" si="17"/>
        <v>0</v>
      </c>
      <c r="N18" s="43">
        <v>0</v>
      </c>
      <c r="O18" s="37">
        <f t="shared" si="18"/>
        <v>0</v>
      </c>
      <c r="P18" s="43">
        <v>0</v>
      </c>
      <c r="Q18" s="68">
        <f t="shared" si="5"/>
        <v>0</v>
      </c>
      <c r="R18" s="44">
        <v>0</v>
      </c>
      <c r="S18" s="68">
        <f t="shared" si="6"/>
        <v>0</v>
      </c>
      <c r="T18" s="44">
        <v>0</v>
      </c>
      <c r="U18" s="68">
        <f t="shared" si="7"/>
        <v>0</v>
      </c>
      <c r="V18" s="44">
        <v>0</v>
      </c>
      <c r="W18" s="68">
        <f t="shared" si="19"/>
        <v>0</v>
      </c>
      <c r="X18" s="44">
        <v>0</v>
      </c>
      <c r="Y18" s="68">
        <f t="shared" si="19"/>
        <v>0</v>
      </c>
      <c r="Z18" s="44">
        <v>0</v>
      </c>
      <c r="AA18" s="68">
        <f t="shared" si="8"/>
        <v>0</v>
      </c>
      <c r="AB18" s="44">
        <v>0</v>
      </c>
      <c r="AC18" s="68">
        <f t="shared" si="9"/>
        <v>0</v>
      </c>
      <c r="AD18" s="44">
        <v>0</v>
      </c>
      <c r="AE18" s="68">
        <f t="shared" si="10"/>
        <v>0</v>
      </c>
      <c r="AF18" s="44">
        <v>0</v>
      </c>
      <c r="AG18" s="68">
        <f t="shared" si="11"/>
        <v>0</v>
      </c>
      <c r="AH18" s="44">
        <v>0</v>
      </c>
      <c r="AI18" s="68">
        <f t="shared" si="12"/>
        <v>0</v>
      </c>
      <c r="AJ18" s="44">
        <v>0</v>
      </c>
      <c r="AK18" s="68">
        <f t="shared" si="13"/>
        <v>0</v>
      </c>
      <c r="AL18" s="68"/>
      <c r="AM18" s="68"/>
      <c r="AP18" s="44">
        <v>0</v>
      </c>
      <c r="AQ18" s="68">
        <f t="shared" si="20"/>
        <v>0</v>
      </c>
      <c r="AT18" s="44">
        <v>0</v>
      </c>
      <c r="AU18" s="68">
        <f t="shared" si="14"/>
        <v>0</v>
      </c>
      <c r="AV18" s="44">
        <v>0</v>
      </c>
      <c r="AW18" s="68">
        <f t="shared" si="15"/>
        <v>0</v>
      </c>
      <c r="AX18" s="44">
        <v>0</v>
      </c>
      <c r="AY18" s="68">
        <f t="shared" si="16"/>
        <v>0</v>
      </c>
      <c r="AZ18" s="58" t="s">
        <v>64</v>
      </c>
      <c r="BA18" s="59"/>
      <c r="BB18" s="62"/>
      <c r="BC18" s="60"/>
      <c r="BD18" s="60"/>
      <c r="BE18" s="5"/>
      <c r="BF18" s="15"/>
      <c r="BG18" s="5"/>
      <c r="BH18" s="5"/>
      <c r="BI18" s="5"/>
      <c r="BJ18" s="5"/>
    </row>
    <row r="19" spans="1:62" ht="19.5" customHeight="1">
      <c r="A19" s="13" t="s">
        <v>65</v>
      </c>
      <c r="B19" s="37">
        <f>2/1000</f>
        <v>0.002</v>
      </c>
      <c r="C19" s="37">
        <f t="shared" si="0"/>
        <v>9.849280401724568E-05</v>
      </c>
      <c r="D19" s="37">
        <f>0.4/1000</f>
        <v>0.0004</v>
      </c>
      <c r="E19" s="37">
        <f t="shared" si="1"/>
        <v>1.891878822588458E-06</v>
      </c>
      <c r="F19" s="37">
        <v>0.1</v>
      </c>
      <c r="G19" s="37">
        <f t="shared" si="2"/>
        <v>0.0001351738624467261</v>
      </c>
      <c r="H19" s="37">
        <v>0</v>
      </c>
      <c r="I19" s="37">
        <f t="shared" si="3"/>
        <v>0</v>
      </c>
      <c r="J19" s="37">
        <v>0</v>
      </c>
      <c r="K19" s="37">
        <f t="shared" si="4"/>
        <v>0</v>
      </c>
      <c r="L19" s="37">
        <v>0</v>
      </c>
      <c r="M19" s="37">
        <f t="shared" si="17"/>
        <v>0</v>
      </c>
      <c r="N19" s="43">
        <v>0</v>
      </c>
      <c r="O19" s="37">
        <f t="shared" si="18"/>
        <v>0</v>
      </c>
      <c r="P19" s="43">
        <v>0</v>
      </c>
      <c r="Q19" s="68">
        <f t="shared" si="5"/>
        <v>0</v>
      </c>
      <c r="R19" s="44">
        <v>0</v>
      </c>
      <c r="S19" s="68">
        <f t="shared" si="6"/>
        <v>0</v>
      </c>
      <c r="T19" s="44">
        <v>0</v>
      </c>
      <c r="U19" s="68">
        <f t="shared" si="7"/>
        <v>0</v>
      </c>
      <c r="V19" s="44">
        <v>0</v>
      </c>
      <c r="W19" s="68">
        <f t="shared" si="19"/>
        <v>0</v>
      </c>
      <c r="X19" s="44">
        <v>0</v>
      </c>
      <c r="Y19" s="68">
        <f t="shared" si="19"/>
        <v>0</v>
      </c>
      <c r="Z19" s="44">
        <v>0</v>
      </c>
      <c r="AA19" s="68">
        <f t="shared" si="8"/>
        <v>0</v>
      </c>
      <c r="AB19" s="44">
        <v>0</v>
      </c>
      <c r="AC19" s="68">
        <f t="shared" si="9"/>
        <v>0</v>
      </c>
      <c r="AD19" s="44">
        <v>0</v>
      </c>
      <c r="AE19" s="68">
        <f t="shared" si="10"/>
        <v>0</v>
      </c>
      <c r="AF19" s="44">
        <v>0</v>
      </c>
      <c r="AG19" s="68">
        <f t="shared" si="11"/>
        <v>0</v>
      </c>
      <c r="AH19" s="44">
        <v>0</v>
      </c>
      <c r="AI19" s="68">
        <f t="shared" si="12"/>
        <v>0</v>
      </c>
      <c r="AJ19" s="44">
        <v>0</v>
      </c>
      <c r="AK19" s="68">
        <f t="shared" si="13"/>
        <v>0</v>
      </c>
      <c r="AL19" s="68"/>
      <c r="AM19" s="68"/>
      <c r="AP19" s="44"/>
      <c r="AQ19" s="68"/>
      <c r="AT19" s="44">
        <v>0</v>
      </c>
      <c r="AU19" s="68">
        <f t="shared" si="14"/>
        <v>0</v>
      </c>
      <c r="AV19" s="44">
        <v>0</v>
      </c>
      <c r="AW19" s="68">
        <f t="shared" si="15"/>
        <v>0</v>
      </c>
      <c r="AX19" s="44">
        <v>0</v>
      </c>
      <c r="AY19" s="68">
        <f t="shared" si="16"/>
        <v>0</v>
      </c>
      <c r="AZ19" s="58" t="s">
        <v>66</v>
      </c>
      <c r="BA19" s="59"/>
      <c r="BB19" s="62"/>
      <c r="BC19" s="60"/>
      <c r="BD19" s="60"/>
      <c r="BE19" s="5"/>
      <c r="BF19" s="15"/>
      <c r="BG19" s="5"/>
      <c r="BH19" s="5"/>
      <c r="BI19" s="5"/>
      <c r="BJ19" s="5"/>
    </row>
    <row r="20" spans="1:68" ht="19.5" customHeight="1">
      <c r="A20" s="13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3"/>
      <c r="O20" s="37"/>
      <c r="P20" s="43"/>
      <c r="Q20" s="68"/>
      <c r="R20" s="44"/>
      <c r="S20" s="68"/>
      <c r="T20" s="43"/>
      <c r="U20" s="68"/>
      <c r="V20" s="44"/>
      <c r="W20" s="68"/>
      <c r="X20" s="44"/>
      <c r="Y20" s="68"/>
      <c r="Z20" s="44"/>
      <c r="AA20" s="68"/>
      <c r="AB20" s="44"/>
      <c r="AC20" s="68"/>
      <c r="AD20" s="44"/>
      <c r="AE20" s="68"/>
      <c r="AF20" s="68"/>
      <c r="AG20" s="68"/>
      <c r="AH20" s="44"/>
      <c r="AI20" s="68"/>
      <c r="AJ20" s="44"/>
      <c r="AK20" s="68"/>
      <c r="AL20" s="68"/>
      <c r="AM20" s="68"/>
      <c r="AT20" s="44"/>
      <c r="AU20" s="68"/>
      <c r="AV20" s="44"/>
      <c r="AW20" s="68"/>
      <c r="AX20" s="44"/>
      <c r="AY20" s="68"/>
      <c r="AZ20" s="58"/>
      <c r="BA20" s="59"/>
      <c r="BB20" s="62"/>
      <c r="BC20" s="60"/>
      <c r="BD20" s="60"/>
      <c r="BE20" s="5"/>
      <c r="BF20" s="15"/>
      <c r="BG20" s="18"/>
      <c r="BH20" s="18"/>
      <c r="BI20" s="18"/>
      <c r="BJ20" s="18"/>
      <c r="BK20" s="18"/>
      <c r="BL20" s="5"/>
      <c r="BM20" s="5"/>
      <c r="BN20" s="5"/>
      <c r="BO20" s="5"/>
      <c r="BP20" s="20"/>
    </row>
    <row r="21" spans="1:68" ht="19.5" customHeight="1">
      <c r="A21" s="13" t="s">
        <v>67</v>
      </c>
      <c r="B21" s="37">
        <f>SUM(B22:B31)</f>
        <v>291.8148</v>
      </c>
      <c r="C21" s="37">
        <f aca="true" t="shared" si="21" ref="C21:C31">(B21/$B$33)*100</f>
        <v>14.370828952865871</v>
      </c>
      <c r="D21" s="37">
        <f>SUM(D22:D31)</f>
        <v>3157.7072</v>
      </c>
      <c r="E21" s="37">
        <f aca="true" t="shared" si="22" ref="E21:E31">(D21/$D$33)*100</f>
        <v>14.934998449037739</v>
      </c>
      <c r="F21" s="37">
        <f>SUM(F22:F31)</f>
        <v>4746.299999999999</v>
      </c>
      <c r="G21" s="37">
        <f aca="true" t="shared" si="23" ref="G21:G31">(F21/$F$33)*100</f>
        <v>6.415757033308959</v>
      </c>
      <c r="H21" s="37">
        <v>20373.2</v>
      </c>
      <c r="I21" s="37">
        <f aca="true" t="shared" si="24" ref="I21:I31">(H21/$H$33)*100</f>
        <v>11.723423599682361</v>
      </c>
      <c r="J21" s="37">
        <f>SUM(J22:J31)</f>
        <v>42368.7</v>
      </c>
      <c r="K21" s="37">
        <f aca="true" t="shared" si="25" ref="K21:K31">(J21/$J$33)*100</f>
        <v>14.18986671096461</v>
      </c>
      <c r="L21" s="37">
        <f>SUM(L22:L31)</f>
        <v>77241.99999999999</v>
      </c>
      <c r="M21" s="37">
        <f aca="true" t="shared" si="26" ref="M21:M31">(L21/L$33)*100</f>
        <v>7.116309814467127</v>
      </c>
      <c r="N21" s="43">
        <f>SUM(N22:N31)</f>
        <v>211964.19599999997</v>
      </c>
      <c r="O21" s="37">
        <f aca="true" t="shared" si="27" ref="O21:O31">(N21/N$33)*100</f>
        <v>21.076914695063127</v>
      </c>
      <c r="P21" s="44">
        <f>SUM(P22:P31)</f>
        <v>213190.53840000002</v>
      </c>
      <c r="Q21" s="68">
        <f aca="true" t="shared" si="28" ref="Q21:Q31">P21/P$33*100</f>
        <v>21.162247124848722</v>
      </c>
      <c r="R21" s="44">
        <f>SUM(R22:R31)</f>
        <v>261168.188</v>
      </c>
      <c r="S21" s="68">
        <f aca="true" t="shared" si="29" ref="S21:S31">R21/R$33*100</f>
        <v>69.85402325589955</v>
      </c>
      <c r="T21" s="44">
        <f>SUM(T22:T31)</f>
        <v>326636.482196</v>
      </c>
      <c r="U21" s="68">
        <f aca="true" t="shared" si="30" ref="U21:U31">T21/T$33*100</f>
        <v>53.93372070982822</v>
      </c>
      <c r="V21" s="44">
        <f>SUM(V22:V31)</f>
        <v>1731763.868996</v>
      </c>
      <c r="W21" s="68">
        <f aca="true" t="shared" si="31" ref="W21:Y31">V21/V$33*100</f>
        <v>18.216137165537077</v>
      </c>
      <c r="X21" s="44">
        <f>SUM(X22:X31)</f>
        <v>503405.4</v>
      </c>
      <c r="Y21" s="68">
        <f t="shared" si="31"/>
        <v>46.51682446703278</v>
      </c>
      <c r="Z21" s="44">
        <f>SUM(Z22:Z31)</f>
        <v>470060.626</v>
      </c>
      <c r="AA21" s="68">
        <f aca="true" t="shared" si="32" ref="AA21:AA31">Z21/Z$33*100</f>
        <v>48.740868855317274</v>
      </c>
      <c r="AB21" s="44">
        <f>SUM(AB22:AB31)</f>
        <v>486166.28398047</v>
      </c>
      <c r="AC21" s="68">
        <f aca="true" t="shared" si="33" ref="AC21:AD31">AB21/AB$33*100</f>
        <v>49.02350269610259</v>
      </c>
      <c r="AD21" s="44">
        <f>SUM(AD22:AD31)</f>
        <v>397124.65698908</v>
      </c>
      <c r="AE21" s="68">
        <f aca="true" t="shared" si="34" ref="AE21:AE31">AD21/AD$33*100</f>
        <v>49.34308993791478</v>
      </c>
      <c r="AF21" s="44">
        <f>SUM(AF22:AF31)</f>
        <v>551370.09686051</v>
      </c>
      <c r="AG21" s="68">
        <f aca="true" t="shared" si="35" ref="AG21:AG31">AF21/AF$33*100</f>
        <v>52.73869444549205</v>
      </c>
      <c r="AH21" s="44">
        <f>SUM(AH22:AH31)</f>
        <v>704612</v>
      </c>
      <c r="AI21" s="68">
        <f aca="true" t="shared" si="36" ref="AI21:AI31">AH21/AH$33*100</f>
        <v>55.70253487278204</v>
      </c>
      <c r="AJ21" s="44">
        <f>SUM(AJ22:AJ31)</f>
        <v>754612.8880400001</v>
      </c>
      <c r="AK21" s="68">
        <f aca="true" t="shared" si="37" ref="AK21:AK31">AJ21/AJ$33*100</f>
        <v>48.710733106677964</v>
      </c>
      <c r="AL21" s="68"/>
      <c r="AM21" s="68"/>
      <c r="AP21" s="44">
        <f>SUM(AP22:AP31)</f>
        <v>667081.63796</v>
      </c>
      <c r="AQ21" s="68">
        <f aca="true" t="shared" si="38" ref="AQ21:AQ31">AP21/AP$33*100</f>
        <v>42.868270068197724</v>
      </c>
      <c r="AT21" s="44">
        <f>SUM(AT22:AT31)</f>
        <v>873602.40812</v>
      </c>
      <c r="AU21" s="68">
        <f aca="true" t="shared" si="39" ref="AU21:AU31">AT21/AT$33*100</f>
        <v>53.64845073163092</v>
      </c>
      <c r="AV21" s="44">
        <f>SUM(AV22:AV31)</f>
        <v>915942.44909</v>
      </c>
      <c r="AW21" s="68">
        <f aca="true" t="shared" si="40" ref="AW21:AW31">AV21/AV$33*100</f>
        <v>65.15886673685995</v>
      </c>
      <c r="AX21" s="44">
        <f>SUM(AX22:AX31)</f>
        <v>876375.4550699999</v>
      </c>
      <c r="AY21" s="68">
        <f aca="true" t="shared" si="41" ref="AY21:AY31">AX21/AX$33*100</f>
        <v>73.77974024768379</v>
      </c>
      <c r="AZ21" s="58" t="s">
        <v>68</v>
      </c>
      <c r="BA21" s="59"/>
      <c r="BB21" s="62"/>
      <c r="BC21" s="60"/>
      <c r="BD21" s="60"/>
      <c r="BE21" s="5"/>
      <c r="BF21" s="15"/>
      <c r="BG21" s="18"/>
      <c r="BH21" s="18"/>
      <c r="BI21" s="18"/>
      <c r="BJ21" s="18"/>
      <c r="BK21" s="18"/>
      <c r="BL21" s="5"/>
      <c r="BM21" s="5"/>
      <c r="BN21" s="5"/>
      <c r="BO21" s="5"/>
      <c r="BP21" s="20"/>
    </row>
    <row r="22" spans="1:63" ht="19.5" customHeight="1">
      <c r="A22" s="13" t="s">
        <v>53</v>
      </c>
      <c r="B22" s="37">
        <f>199262.5/1000</f>
        <v>199.2625</v>
      </c>
      <c r="C22" s="37">
        <f t="shared" si="21"/>
        <v>9.812961180243207</v>
      </c>
      <c r="D22" s="37">
        <f>1809718.5/1000</f>
        <v>1809.7185</v>
      </c>
      <c r="E22" s="37">
        <f t="shared" si="22"/>
        <v>8.559420262491374</v>
      </c>
      <c r="F22" s="37">
        <v>2037.3</v>
      </c>
      <c r="G22" s="37">
        <f t="shared" si="23"/>
        <v>2.7538970996271503</v>
      </c>
      <c r="H22" s="37">
        <v>8972.2</v>
      </c>
      <c r="I22" s="37">
        <f t="shared" si="24"/>
        <v>5.162905249105202</v>
      </c>
      <c r="J22" s="37">
        <v>18036.1</v>
      </c>
      <c r="K22" s="37">
        <f t="shared" si="25"/>
        <v>6.040540658212993</v>
      </c>
      <c r="L22" s="37">
        <v>36876.5</v>
      </c>
      <c r="M22" s="37">
        <f t="shared" si="26"/>
        <v>3.39743402388852</v>
      </c>
      <c r="N22" s="43">
        <v>111165.0973</v>
      </c>
      <c r="O22" s="37">
        <f t="shared" si="27"/>
        <v>11.05383511496674</v>
      </c>
      <c r="P22" s="43">
        <v>93116.2299</v>
      </c>
      <c r="Q22" s="68">
        <f t="shared" si="28"/>
        <v>9.243133786644762</v>
      </c>
      <c r="R22" s="44">
        <v>106302.549</v>
      </c>
      <c r="S22" s="68">
        <f t="shared" si="29"/>
        <v>28.432485544554154</v>
      </c>
      <c r="T22" s="44">
        <v>146644.042795</v>
      </c>
      <c r="U22" s="68">
        <f t="shared" si="30"/>
        <v>24.213642011732645</v>
      </c>
      <c r="V22" s="44">
        <v>208422.733172</v>
      </c>
      <c r="W22" s="68">
        <f t="shared" si="31"/>
        <v>2.192364192283571</v>
      </c>
      <c r="X22" s="44">
        <v>327004</v>
      </c>
      <c r="Y22" s="68">
        <f t="shared" si="31"/>
        <v>30.216576278318797</v>
      </c>
      <c r="Z22" s="44">
        <v>326578</v>
      </c>
      <c r="AA22" s="68">
        <f t="shared" si="32"/>
        <v>33.86306912043257</v>
      </c>
      <c r="AB22" s="44">
        <v>387776.13225289</v>
      </c>
      <c r="AC22" s="68">
        <f t="shared" si="33"/>
        <v>39.10214445423668</v>
      </c>
      <c r="AD22" s="44">
        <v>332614.14911345</v>
      </c>
      <c r="AE22" s="68">
        <f t="shared" si="34"/>
        <v>41.3276022666587</v>
      </c>
      <c r="AF22" s="44">
        <v>481632.97925051</v>
      </c>
      <c r="AG22" s="68">
        <f t="shared" si="35"/>
        <v>46.068320846915164</v>
      </c>
      <c r="AH22" s="44">
        <v>635663</v>
      </c>
      <c r="AI22" s="68">
        <f t="shared" si="36"/>
        <v>50.2518271400959</v>
      </c>
      <c r="AJ22" s="44">
        <v>695329.50962</v>
      </c>
      <c r="AK22" s="68">
        <f t="shared" si="37"/>
        <v>44.883954012857686</v>
      </c>
      <c r="AL22" s="68"/>
      <c r="AM22" s="68"/>
      <c r="AP22" s="44">
        <v>623325.76539</v>
      </c>
      <c r="AQ22" s="68">
        <f t="shared" si="38"/>
        <v>40.056412484864154</v>
      </c>
      <c r="AT22" s="44">
        <v>816693.94969</v>
      </c>
      <c r="AU22" s="68">
        <f t="shared" si="39"/>
        <v>50.15366797929727</v>
      </c>
      <c r="AV22" s="44">
        <v>872915.35757</v>
      </c>
      <c r="AW22" s="68">
        <f t="shared" si="40"/>
        <v>62.0979795324163</v>
      </c>
      <c r="AX22" s="44">
        <v>841330.38599</v>
      </c>
      <c r="AY22" s="68">
        <f t="shared" si="41"/>
        <v>70.8293882282083</v>
      </c>
      <c r="AZ22" s="58" t="s">
        <v>54</v>
      </c>
      <c r="BA22" s="59"/>
      <c r="BB22" s="62"/>
      <c r="BC22" s="60"/>
      <c r="BD22" s="60"/>
      <c r="BE22" s="5"/>
      <c r="BF22" s="19"/>
      <c r="BG22" s="18"/>
      <c r="BH22" s="18"/>
      <c r="BI22" s="18"/>
      <c r="BJ22" s="18"/>
      <c r="BK22" s="18"/>
    </row>
    <row r="23" spans="1:63" ht="19.5" customHeight="1">
      <c r="A23" s="13" t="s">
        <v>55</v>
      </c>
      <c r="B23" s="37">
        <f>416.6/1000</f>
        <v>0.4166</v>
      </c>
      <c r="C23" s="37">
        <f t="shared" si="21"/>
        <v>0.020516051076792274</v>
      </c>
      <c r="D23" s="37">
        <v>0</v>
      </c>
      <c r="E23" s="37">
        <f t="shared" si="22"/>
        <v>0</v>
      </c>
      <c r="F23" s="37">
        <f>0+0</f>
        <v>0</v>
      </c>
      <c r="G23" s="37">
        <f t="shared" si="23"/>
        <v>0</v>
      </c>
      <c r="H23" s="37">
        <v>0.9</v>
      </c>
      <c r="I23" s="37">
        <f t="shared" si="24"/>
        <v>0.0005178902302885224</v>
      </c>
      <c r="J23" s="37">
        <v>0</v>
      </c>
      <c r="K23" s="37">
        <f t="shared" si="25"/>
        <v>0</v>
      </c>
      <c r="L23" s="37">
        <v>0</v>
      </c>
      <c r="M23" s="37">
        <f t="shared" si="26"/>
        <v>0</v>
      </c>
      <c r="N23" s="43">
        <v>0</v>
      </c>
      <c r="O23" s="37">
        <f t="shared" si="27"/>
        <v>0</v>
      </c>
      <c r="P23" s="43">
        <v>0</v>
      </c>
      <c r="Q23" s="68">
        <f t="shared" si="28"/>
        <v>0</v>
      </c>
      <c r="R23" s="44">
        <v>0</v>
      </c>
      <c r="S23" s="68">
        <f t="shared" si="29"/>
        <v>0</v>
      </c>
      <c r="T23" s="44">
        <v>0</v>
      </c>
      <c r="U23" s="68">
        <f t="shared" si="30"/>
        <v>0</v>
      </c>
      <c r="V23" s="44">
        <v>0</v>
      </c>
      <c r="W23" s="68">
        <f t="shared" si="31"/>
        <v>0</v>
      </c>
      <c r="X23" s="44">
        <v>0</v>
      </c>
      <c r="Y23" s="68">
        <f t="shared" si="31"/>
        <v>0</v>
      </c>
      <c r="Z23" s="44">
        <v>0</v>
      </c>
      <c r="AA23" s="68">
        <f t="shared" si="32"/>
        <v>0</v>
      </c>
      <c r="AB23" s="44">
        <v>0</v>
      </c>
      <c r="AC23" s="68">
        <f t="shared" si="33"/>
        <v>0</v>
      </c>
      <c r="AD23" s="44">
        <v>0</v>
      </c>
      <c r="AE23" s="68">
        <f t="shared" si="34"/>
        <v>0</v>
      </c>
      <c r="AF23" s="44">
        <v>0</v>
      </c>
      <c r="AG23" s="68">
        <f t="shared" si="35"/>
        <v>0</v>
      </c>
      <c r="AH23" s="44">
        <v>0</v>
      </c>
      <c r="AI23" s="68">
        <f t="shared" si="36"/>
        <v>0</v>
      </c>
      <c r="AJ23" s="44">
        <v>0</v>
      </c>
      <c r="AK23" s="68">
        <f t="shared" si="37"/>
        <v>0</v>
      </c>
      <c r="AL23" s="68"/>
      <c r="AM23" s="68"/>
      <c r="AP23" s="44">
        <v>0</v>
      </c>
      <c r="AQ23" s="68">
        <f t="shared" si="38"/>
        <v>0</v>
      </c>
      <c r="AT23" s="44">
        <v>0</v>
      </c>
      <c r="AU23" s="68">
        <f t="shared" si="39"/>
        <v>0</v>
      </c>
      <c r="AV23" s="44">
        <v>0</v>
      </c>
      <c r="AW23" s="68">
        <f t="shared" si="40"/>
        <v>0</v>
      </c>
      <c r="AX23" s="44">
        <v>0</v>
      </c>
      <c r="AY23" s="68">
        <f t="shared" si="41"/>
        <v>0</v>
      </c>
      <c r="AZ23" s="58" t="s">
        <v>77</v>
      </c>
      <c r="BA23" s="59"/>
      <c r="BB23" s="62"/>
      <c r="BC23" s="60"/>
      <c r="BD23" s="60"/>
      <c r="BE23" s="5"/>
      <c r="BF23" s="19"/>
      <c r="BG23" s="18"/>
      <c r="BH23" s="18"/>
      <c r="BI23" s="18"/>
      <c r="BJ23" s="18"/>
      <c r="BK23" s="18"/>
    </row>
    <row r="24" spans="1:63" ht="19.5" customHeight="1">
      <c r="A24" s="13" t="s">
        <v>56</v>
      </c>
      <c r="B24" s="37">
        <f>31754.6/1000</f>
        <v>31.7546</v>
      </c>
      <c r="C24" s="37">
        <f t="shared" si="21"/>
        <v>1.5637997972230149</v>
      </c>
      <c r="D24" s="37">
        <f>213843.2/1000</f>
        <v>213.84320000000002</v>
      </c>
      <c r="E24" s="37">
        <f t="shared" si="22"/>
        <v>1.0114135535863704</v>
      </c>
      <c r="F24" s="37">
        <v>248.9</v>
      </c>
      <c r="G24" s="37">
        <f t="shared" si="23"/>
        <v>0.33644774362990126</v>
      </c>
      <c r="H24" s="37">
        <v>4780.6</v>
      </c>
      <c r="I24" s="37">
        <f t="shared" si="24"/>
        <v>2.7509178165747894</v>
      </c>
      <c r="J24" s="37">
        <v>8660.2</v>
      </c>
      <c r="K24" s="37">
        <f t="shared" si="25"/>
        <v>2.900421388673614</v>
      </c>
      <c r="L24" s="37">
        <v>30752.4</v>
      </c>
      <c r="M24" s="37">
        <f t="shared" si="26"/>
        <v>2.8332203456463962</v>
      </c>
      <c r="N24" s="43">
        <v>95767.9064</v>
      </c>
      <c r="O24" s="37">
        <f t="shared" si="27"/>
        <v>9.52279692423899</v>
      </c>
      <c r="P24" s="43">
        <v>98640.6137</v>
      </c>
      <c r="Q24" s="68">
        <f t="shared" si="28"/>
        <v>9.791508850873743</v>
      </c>
      <c r="R24" s="44">
        <v>100091.291</v>
      </c>
      <c r="S24" s="68">
        <f t="shared" si="29"/>
        <v>26.771175397621583</v>
      </c>
      <c r="T24" s="44">
        <v>143542.640606</v>
      </c>
      <c r="U24" s="68">
        <f t="shared" si="30"/>
        <v>23.701543184480382</v>
      </c>
      <c r="V24" s="44">
        <v>1209353.502628</v>
      </c>
      <c r="W24" s="68">
        <f t="shared" si="31"/>
        <v>12.720989090889292</v>
      </c>
      <c r="X24" s="44">
        <v>149803.4</v>
      </c>
      <c r="Y24" s="68">
        <f t="shared" si="31"/>
        <v>13.842478571673439</v>
      </c>
      <c r="Z24" s="44">
        <v>131315</v>
      </c>
      <c r="AA24" s="68">
        <f t="shared" si="32"/>
        <v>13.616131281193478</v>
      </c>
      <c r="AB24" s="44">
        <v>83696.00605864</v>
      </c>
      <c r="AC24" s="68">
        <f t="shared" si="33"/>
        <v>8.439646092022258</v>
      </c>
      <c r="AD24" s="44">
        <v>58535.92703955</v>
      </c>
      <c r="AE24" s="68">
        <f t="shared" si="34"/>
        <v>7.273140717100213</v>
      </c>
      <c r="AF24" s="44">
        <v>63888.7196</v>
      </c>
      <c r="AG24" s="68">
        <f t="shared" si="35"/>
        <v>6.110972794287281</v>
      </c>
      <c r="AH24" s="44">
        <v>64668</v>
      </c>
      <c r="AI24" s="68">
        <f t="shared" si="36"/>
        <v>5.112276721306292</v>
      </c>
      <c r="AJ24" s="44">
        <v>58135.71672</v>
      </c>
      <c r="AK24" s="68">
        <f t="shared" si="37"/>
        <v>3.752696814480125</v>
      </c>
      <c r="AL24" s="68"/>
      <c r="AM24" s="68"/>
      <c r="AP24" s="44">
        <v>42871.39627</v>
      </c>
      <c r="AQ24" s="68">
        <f t="shared" si="38"/>
        <v>2.755019009552299</v>
      </c>
      <c r="AT24" s="44">
        <v>56836.55922</v>
      </c>
      <c r="AU24" s="68">
        <f t="shared" si="39"/>
        <v>3.4903673784868383</v>
      </c>
      <c r="AV24" s="44">
        <v>42281.07828</v>
      </c>
      <c r="AW24" s="68">
        <f t="shared" si="40"/>
        <v>3.007816864339432</v>
      </c>
      <c r="AX24" s="44">
        <v>34137.35292</v>
      </c>
      <c r="AY24" s="68">
        <f t="shared" si="41"/>
        <v>2.8739337878648534</v>
      </c>
      <c r="AZ24" s="58" t="s">
        <v>57</v>
      </c>
      <c r="BA24" s="59"/>
      <c r="BB24" s="62"/>
      <c r="BC24" s="60"/>
      <c r="BD24" s="60"/>
      <c r="BE24" s="5"/>
      <c r="BF24" s="19"/>
      <c r="BG24" s="18"/>
      <c r="BH24" s="18"/>
      <c r="BI24" s="18"/>
      <c r="BJ24" s="18"/>
      <c r="BK24" s="18"/>
    </row>
    <row r="25" spans="1:63" ht="19.5" customHeight="1">
      <c r="A25" s="13" t="s">
        <v>7</v>
      </c>
      <c r="B25" s="37">
        <f>60058.9/1000</f>
        <v>60.0589</v>
      </c>
      <c r="C25" s="37">
        <f t="shared" si="21"/>
        <v>2.9576847335956784</v>
      </c>
      <c r="D25" s="37">
        <f>1109190.5/1000</f>
        <v>1109.1905</v>
      </c>
      <c r="E25" s="37">
        <f t="shared" si="22"/>
        <v>5.246135042915757</v>
      </c>
      <c r="F25" s="37">
        <v>2440.2</v>
      </c>
      <c r="G25" s="37">
        <f t="shared" si="23"/>
        <v>3.2985125914250104</v>
      </c>
      <c r="H25" s="37">
        <v>6618.1</v>
      </c>
      <c r="I25" s="37">
        <f t="shared" si="24"/>
        <v>3.8082770367471896</v>
      </c>
      <c r="J25" s="37">
        <v>15621.3</v>
      </c>
      <c r="K25" s="37">
        <f t="shared" si="25"/>
        <v>5.231790563599815</v>
      </c>
      <c r="L25" s="37">
        <v>9457.2</v>
      </c>
      <c r="M25" s="37">
        <f t="shared" si="26"/>
        <v>0.8712923691434522</v>
      </c>
      <c r="N25" s="43">
        <v>4430.6842</v>
      </c>
      <c r="O25" s="37">
        <f t="shared" si="27"/>
        <v>0.4405704108828079</v>
      </c>
      <c r="P25" s="43">
        <v>20883.2227</v>
      </c>
      <c r="Q25" s="68">
        <f t="shared" si="28"/>
        <v>2.0729621626615793</v>
      </c>
      <c r="R25" s="44">
        <v>54774.348</v>
      </c>
      <c r="S25" s="68">
        <f t="shared" si="29"/>
        <v>14.650362313723807</v>
      </c>
      <c r="T25" s="43">
        <v>36449.798795</v>
      </c>
      <c r="U25" s="68">
        <f t="shared" si="30"/>
        <v>6.018535513615196</v>
      </c>
      <c r="V25" s="44">
        <v>313987.633196</v>
      </c>
      <c r="W25" s="68">
        <f t="shared" si="31"/>
        <v>3.302783882364213</v>
      </c>
      <c r="X25" s="44">
        <v>26598</v>
      </c>
      <c r="Y25" s="68">
        <f t="shared" si="31"/>
        <v>2.4577696170405354</v>
      </c>
      <c r="Z25" s="44">
        <v>12167.626</v>
      </c>
      <c r="AA25" s="68">
        <f t="shared" si="32"/>
        <v>1.2616684536912237</v>
      </c>
      <c r="AB25" s="44">
        <v>14694.14566894</v>
      </c>
      <c r="AC25" s="68">
        <f t="shared" si="33"/>
        <v>1.4817121498436576</v>
      </c>
      <c r="AD25" s="44">
        <v>5974.58083608</v>
      </c>
      <c r="AE25" s="68">
        <f t="shared" si="34"/>
        <v>0.7423469541558685</v>
      </c>
      <c r="AF25" s="44">
        <v>5848.39801</v>
      </c>
      <c r="AG25" s="68">
        <f t="shared" si="35"/>
        <v>0.5594008042896179</v>
      </c>
      <c r="AH25" s="44">
        <v>4281</v>
      </c>
      <c r="AI25" s="68">
        <f t="shared" si="36"/>
        <v>0.3384310113798515</v>
      </c>
      <c r="AJ25" s="44">
        <v>1147.6617</v>
      </c>
      <c r="AK25" s="68">
        <f t="shared" si="37"/>
        <v>0.0740822793401496</v>
      </c>
      <c r="AL25" s="68"/>
      <c r="AM25" s="68"/>
      <c r="AP25" s="44">
        <v>884.4763</v>
      </c>
      <c r="AQ25" s="68">
        <f t="shared" si="38"/>
        <v>0.05683857378127056</v>
      </c>
      <c r="AT25" s="44">
        <v>71.89921</v>
      </c>
      <c r="AU25" s="68">
        <f t="shared" si="39"/>
        <v>0.00441537384681561</v>
      </c>
      <c r="AV25" s="44">
        <v>746.01324</v>
      </c>
      <c r="AW25" s="68">
        <f t="shared" si="40"/>
        <v>0.05307034010421411</v>
      </c>
      <c r="AX25" s="44">
        <v>907.71616</v>
      </c>
      <c r="AY25" s="68">
        <f t="shared" si="41"/>
        <v>0.0764182316106465</v>
      </c>
      <c r="AZ25" s="58" t="s">
        <v>58</v>
      </c>
      <c r="BA25" s="59"/>
      <c r="BB25" s="62"/>
      <c r="BC25" s="60"/>
      <c r="BD25" s="60"/>
      <c r="BE25" s="5"/>
      <c r="BF25" s="19"/>
      <c r="BG25" s="18"/>
      <c r="BH25" s="18"/>
      <c r="BI25" s="18"/>
      <c r="BJ25" s="18"/>
      <c r="BK25" s="18"/>
    </row>
    <row r="26" spans="1:63" ht="19.5" customHeight="1">
      <c r="A26" s="13" t="s">
        <v>8</v>
      </c>
      <c r="B26" s="37">
        <f>100.7/1000</f>
        <v>0.1007</v>
      </c>
      <c r="C26" s="37">
        <f t="shared" si="21"/>
        <v>0.00495911268226832</v>
      </c>
      <c r="D26" s="37">
        <f>6864.3/1000</f>
        <v>6.8643</v>
      </c>
      <c r="E26" s="37">
        <f t="shared" si="22"/>
        <v>0.03246605950473488</v>
      </c>
      <c r="F26" s="37">
        <v>0</v>
      </c>
      <c r="G26" s="37">
        <f t="shared" si="23"/>
        <v>0</v>
      </c>
      <c r="H26" s="37">
        <v>0</v>
      </c>
      <c r="I26" s="37">
        <f t="shared" si="24"/>
        <v>0</v>
      </c>
      <c r="J26" s="37">
        <v>51.1</v>
      </c>
      <c r="K26" s="37">
        <f t="shared" si="25"/>
        <v>0.01711410047819007</v>
      </c>
      <c r="L26" s="37">
        <v>155.9</v>
      </c>
      <c r="M26" s="37">
        <f t="shared" si="26"/>
        <v>0.014363075788760329</v>
      </c>
      <c r="N26" s="43">
        <v>599.7786</v>
      </c>
      <c r="O26" s="37">
        <f t="shared" si="27"/>
        <v>0.05963970626494104</v>
      </c>
      <c r="P26" s="43">
        <v>549.7217</v>
      </c>
      <c r="Q26" s="68">
        <f t="shared" si="28"/>
        <v>0.05456783660569784</v>
      </c>
      <c r="R26" s="44">
        <v>0</v>
      </c>
      <c r="S26" s="68">
        <f t="shared" si="29"/>
        <v>0</v>
      </c>
      <c r="T26" s="44">
        <v>0</v>
      </c>
      <c r="U26" s="68">
        <f t="shared" si="30"/>
        <v>0</v>
      </c>
      <c r="V26" s="44">
        <v>0</v>
      </c>
      <c r="W26" s="68">
        <f t="shared" si="31"/>
        <v>0</v>
      </c>
      <c r="X26" s="44">
        <v>0</v>
      </c>
      <c r="Y26" s="68">
        <f t="shared" si="31"/>
        <v>0</v>
      </c>
      <c r="Z26" s="44">
        <v>0</v>
      </c>
      <c r="AA26" s="68">
        <f t="shared" si="32"/>
        <v>0</v>
      </c>
      <c r="AB26" s="44">
        <v>0</v>
      </c>
      <c r="AC26" s="68">
        <f t="shared" si="33"/>
        <v>0</v>
      </c>
      <c r="AD26" s="44">
        <f t="shared" si="33"/>
        <v>0</v>
      </c>
      <c r="AE26" s="68">
        <f t="shared" si="34"/>
        <v>0</v>
      </c>
      <c r="AF26" s="44">
        <v>0</v>
      </c>
      <c r="AG26" s="68">
        <f t="shared" si="35"/>
        <v>0</v>
      </c>
      <c r="AH26" s="44">
        <v>0</v>
      </c>
      <c r="AI26" s="68">
        <f t="shared" si="36"/>
        <v>0</v>
      </c>
      <c r="AJ26" s="44">
        <v>0</v>
      </c>
      <c r="AK26" s="68">
        <f t="shared" si="37"/>
        <v>0</v>
      </c>
      <c r="AL26" s="68"/>
      <c r="AM26" s="68"/>
      <c r="AP26" s="44">
        <v>0</v>
      </c>
      <c r="AQ26" s="68">
        <f t="shared" si="38"/>
        <v>0</v>
      </c>
      <c r="AT26" s="44">
        <v>0</v>
      </c>
      <c r="AU26" s="68">
        <f t="shared" si="39"/>
        <v>0</v>
      </c>
      <c r="AV26" s="44">
        <v>0</v>
      </c>
      <c r="AW26" s="68">
        <f t="shared" si="40"/>
        <v>0</v>
      </c>
      <c r="AX26" s="44">
        <v>0</v>
      </c>
      <c r="AY26" s="68">
        <f t="shared" si="41"/>
        <v>0</v>
      </c>
      <c r="AZ26" s="58" t="s">
        <v>59</v>
      </c>
      <c r="BA26" s="59"/>
      <c r="BB26" s="62"/>
      <c r="BC26" s="60"/>
      <c r="BD26" s="60"/>
      <c r="BE26" s="5"/>
      <c r="BF26" s="19"/>
      <c r="BG26" s="18"/>
      <c r="BH26" s="18"/>
      <c r="BI26" s="18"/>
      <c r="BJ26" s="18"/>
      <c r="BK26" s="18"/>
    </row>
    <row r="27" spans="1:63" ht="19.5" customHeight="1">
      <c r="A27" s="13" t="s">
        <v>60</v>
      </c>
      <c r="B27" s="37">
        <f>41.5/1000</f>
        <v>0.0415</v>
      </c>
      <c r="C27" s="37">
        <f t="shared" si="21"/>
        <v>0.002043725683357848</v>
      </c>
      <c r="D27" s="37">
        <v>0</v>
      </c>
      <c r="E27" s="37">
        <f t="shared" si="22"/>
        <v>0</v>
      </c>
      <c r="F27" s="37">
        <v>0</v>
      </c>
      <c r="G27" s="37">
        <f t="shared" si="23"/>
        <v>0</v>
      </c>
      <c r="H27" s="37">
        <v>0</v>
      </c>
      <c r="I27" s="37">
        <f t="shared" si="24"/>
        <v>0</v>
      </c>
      <c r="J27" s="37">
        <v>0</v>
      </c>
      <c r="K27" s="37">
        <f t="shared" si="25"/>
        <v>0</v>
      </c>
      <c r="L27" s="37">
        <v>0</v>
      </c>
      <c r="M27" s="37">
        <f t="shared" si="26"/>
        <v>0</v>
      </c>
      <c r="N27" s="43">
        <v>0.5745</v>
      </c>
      <c r="O27" s="37">
        <f t="shared" si="27"/>
        <v>5.712609827894598E-05</v>
      </c>
      <c r="P27" s="43">
        <v>0.5204</v>
      </c>
      <c r="Q27" s="68">
        <f t="shared" si="28"/>
        <v>5.1657233413935E-05</v>
      </c>
      <c r="R27" s="44">
        <v>0</v>
      </c>
      <c r="S27" s="68">
        <f t="shared" si="29"/>
        <v>0</v>
      </c>
      <c r="T27" s="44">
        <v>0</v>
      </c>
      <c r="U27" s="68">
        <f t="shared" si="30"/>
        <v>0</v>
      </c>
      <c r="V27" s="44">
        <v>0</v>
      </c>
      <c r="W27" s="68">
        <f t="shared" si="31"/>
        <v>0</v>
      </c>
      <c r="X27" s="44">
        <v>0</v>
      </c>
      <c r="Y27" s="68">
        <f t="shared" si="31"/>
        <v>0</v>
      </c>
      <c r="Z27" s="44">
        <v>0</v>
      </c>
      <c r="AA27" s="68">
        <f t="shared" si="32"/>
        <v>0</v>
      </c>
      <c r="AB27" s="44">
        <v>0</v>
      </c>
      <c r="AC27" s="68">
        <f t="shared" si="33"/>
        <v>0</v>
      </c>
      <c r="AD27" s="44">
        <f t="shared" si="33"/>
        <v>0</v>
      </c>
      <c r="AE27" s="68">
        <f t="shared" si="34"/>
        <v>0</v>
      </c>
      <c r="AF27" s="44">
        <v>0</v>
      </c>
      <c r="AG27" s="68">
        <f t="shared" si="35"/>
        <v>0</v>
      </c>
      <c r="AH27" s="44">
        <v>0</v>
      </c>
      <c r="AI27" s="68">
        <f t="shared" si="36"/>
        <v>0</v>
      </c>
      <c r="AJ27" s="44">
        <v>0</v>
      </c>
      <c r="AK27" s="68">
        <f t="shared" si="37"/>
        <v>0</v>
      </c>
      <c r="AL27" s="68"/>
      <c r="AM27" s="68"/>
      <c r="AP27" s="44">
        <v>0</v>
      </c>
      <c r="AQ27" s="68">
        <f t="shared" si="38"/>
        <v>0</v>
      </c>
      <c r="AT27" s="44">
        <v>0</v>
      </c>
      <c r="AU27" s="68">
        <f t="shared" si="39"/>
        <v>0</v>
      </c>
      <c r="AV27" s="44">
        <v>0</v>
      </c>
      <c r="AW27" s="68">
        <f t="shared" si="40"/>
        <v>0</v>
      </c>
      <c r="AX27" s="44">
        <v>0</v>
      </c>
      <c r="AY27" s="68">
        <f t="shared" si="41"/>
        <v>0</v>
      </c>
      <c r="AZ27" s="58" t="s">
        <v>84</v>
      </c>
      <c r="BA27" s="59"/>
      <c r="BB27" s="62"/>
      <c r="BC27" s="60"/>
      <c r="BD27" s="60"/>
      <c r="BE27" s="5"/>
      <c r="BF27" s="19"/>
      <c r="BG27" s="18"/>
      <c r="BH27" s="18"/>
      <c r="BI27" s="18"/>
      <c r="BJ27" s="18"/>
      <c r="BK27" s="18"/>
    </row>
    <row r="28" spans="1:64" ht="19.5" customHeight="1">
      <c r="A28" s="13" t="s">
        <v>9</v>
      </c>
      <c r="B28" s="37">
        <f>179.3/1000</f>
        <v>0.17930000000000001</v>
      </c>
      <c r="C28" s="37">
        <f t="shared" si="21"/>
        <v>0.008829879880146076</v>
      </c>
      <c r="D28" s="37">
        <f>17718.7/1000</f>
        <v>17.718700000000002</v>
      </c>
      <c r="E28" s="37">
        <f t="shared" si="22"/>
        <v>0.08380408323449529</v>
      </c>
      <c r="F28" s="37">
        <v>19.9</v>
      </c>
      <c r="G28" s="37">
        <f t="shared" si="23"/>
        <v>0.026899598626898488</v>
      </c>
      <c r="H28" s="37">
        <v>1.4</v>
      </c>
      <c r="I28" s="37">
        <f t="shared" si="24"/>
        <v>0.000805607024893257</v>
      </c>
      <c r="J28" s="37">
        <v>0</v>
      </c>
      <c r="K28" s="37">
        <f t="shared" si="25"/>
        <v>0</v>
      </c>
      <c r="L28" s="37">
        <v>0</v>
      </c>
      <c r="M28" s="37">
        <f t="shared" si="26"/>
        <v>0</v>
      </c>
      <c r="N28" s="43">
        <v>0</v>
      </c>
      <c r="O28" s="37">
        <f t="shared" si="27"/>
        <v>0</v>
      </c>
      <c r="P28" s="43">
        <v>0.23</v>
      </c>
      <c r="Q28" s="68">
        <f t="shared" si="28"/>
        <v>2.283082952575913E-05</v>
      </c>
      <c r="R28" s="44">
        <v>0</v>
      </c>
      <c r="S28" s="68">
        <f t="shared" si="29"/>
        <v>0</v>
      </c>
      <c r="T28" s="44">
        <v>0</v>
      </c>
      <c r="U28" s="68">
        <f t="shared" si="30"/>
        <v>0</v>
      </c>
      <c r="V28" s="44">
        <v>0</v>
      </c>
      <c r="W28" s="68">
        <f t="shared" si="31"/>
        <v>0</v>
      </c>
      <c r="X28" s="44">
        <v>0</v>
      </c>
      <c r="Y28" s="68">
        <f t="shared" si="31"/>
        <v>0</v>
      </c>
      <c r="Z28" s="44">
        <v>0</v>
      </c>
      <c r="AA28" s="68">
        <f t="shared" si="32"/>
        <v>0</v>
      </c>
      <c r="AB28" s="44">
        <v>0</v>
      </c>
      <c r="AC28" s="68">
        <f t="shared" si="33"/>
        <v>0</v>
      </c>
      <c r="AD28" s="44">
        <f t="shared" si="33"/>
        <v>0</v>
      </c>
      <c r="AE28" s="68">
        <f t="shared" si="34"/>
        <v>0</v>
      </c>
      <c r="AF28" s="44">
        <v>0</v>
      </c>
      <c r="AG28" s="68">
        <f t="shared" si="35"/>
        <v>0</v>
      </c>
      <c r="AH28" s="44">
        <v>0</v>
      </c>
      <c r="AI28" s="68">
        <f t="shared" si="36"/>
        <v>0</v>
      </c>
      <c r="AJ28" s="44">
        <v>0</v>
      </c>
      <c r="AK28" s="68">
        <f t="shared" si="37"/>
        <v>0</v>
      </c>
      <c r="AL28" s="68"/>
      <c r="AM28" s="68"/>
      <c r="AP28" s="44">
        <v>0</v>
      </c>
      <c r="AQ28" s="68">
        <f t="shared" si="38"/>
        <v>0</v>
      </c>
      <c r="AT28" s="44">
        <v>0</v>
      </c>
      <c r="AU28" s="68">
        <f t="shared" si="39"/>
        <v>0</v>
      </c>
      <c r="AV28" s="44">
        <v>0</v>
      </c>
      <c r="AW28" s="68">
        <f t="shared" si="40"/>
        <v>0</v>
      </c>
      <c r="AX28" s="44">
        <v>0</v>
      </c>
      <c r="AY28" s="68">
        <f t="shared" si="41"/>
        <v>0</v>
      </c>
      <c r="AZ28" s="58" t="s">
        <v>61</v>
      </c>
      <c r="BA28" s="59"/>
      <c r="BB28" s="62"/>
      <c r="BC28" s="60"/>
      <c r="BD28" s="60"/>
      <c r="BE28" s="5"/>
      <c r="BF28" s="19"/>
      <c r="BG28" s="18"/>
      <c r="BH28" s="18"/>
      <c r="BI28" s="18"/>
      <c r="BJ28" s="18"/>
      <c r="BK28" s="18"/>
      <c r="BL28" s="18"/>
    </row>
    <row r="29" spans="1:64" ht="19.5" customHeight="1">
      <c r="A29" s="13" t="s">
        <v>62</v>
      </c>
      <c r="B29" s="37">
        <v>0</v>
      </c>
      <c r="C29" s="37">
        <f t="shared" si="21"/>
        <v>0</v>
      </c>
      <c r="D29" s="37">
        <v>0</v>
      </c>
      <c r="E29" s="37">
        <f t="shared" si="22"/>
        <v>0</v>
      </c>
      <c r="F29" s="37">
        <v>0</v>
      </c>
      <c r="G29" s="37">
        <f t="shared" si="23"/>
        <v>0</v>
      </c>
      <c r="H29" s="37">
        <v>0</v>
      </c>
      <c r="I29" s="37">
        <f t="shared" si="24"/>
        <v>0</v>
      </c>
      <c r="J29" s="37">
        <v>0</v>
      </c>
      <c r="K29" s="37">
        <f t="shared" si="25"/>
        <v>0</v>
      </c>
      <c r="L29" s="37">
        <v>0</v>
      </c>
      <c r="M29" s="37">
        <f t="shared" si="26"/>
        <v>0</v>
      </c>
      <c r="N29" s="43">
        <v>0.155</v>
      </c>
      <c r="O29" s="37">
        <f t="shared" si="27"/>
        <v>1.5412611372039383E-05</v>
      </c>
      <c r="P29" s="43">
        <v>0</v>
      </c>
      <c r="Q29" s="68">
        <f t="shared" si="28"/>
        <v>0</v>
      </c>
      <c r="R29" s="44">
        <v>0</v>
      </c>
      <c r="S29" s="68">
        <f t="shared" si="29"/>
        <v>0</v>
      </c>
      <c r="T29" s="43">
        <v>0</v>
      </c>
      <c r="U29" s="68">
        <f t="shared" si="30"/>
        <v>0</v>
      </c>
      <c r="V29" s="44">
        <v>0</v>
      </c>
      <c r="W29" s="68">
        <f t="shared" si="31"/>
        <v>0</v>
      </c>
      <c r="X29" s="44">
        <v>0</v>
      </c>
      <c r="Y29" s="68">
        <f t="shared" si="31"/>
        <v>0</v>
      </c>
      <c r="Z29" s="44">
        <v>0</v>
      </c>
      <c r="AA29" s="68">
        <f t="shared" si="32"/>
        <v>0</v>
      </c>
      <c r="AB29" s="44">
        <v>0</v>
      </c>
      <c r="AC29" s="68">
        <f t="shared" si="33"/>
        <v>0</v>
      </c>
      <c r="AD29" s="44">
        <f t="shared" si="33"/>
        <v>0</v>
      </c>
      <c r="AE29" s="68">
        <f t="shared" si="34"/>
        <v>0</v>
      </c>
      <c r="AF29" s="44">
        <v>0</v>
      </c>
      <c r="AG29" s="68">
        <f t="shared" si="35"/>
        <v>0</v>
      </c>
      <c r="AH29" s="44">
        <v>0</v>
      </c>
      <c r="AI29" s="68">
        <f t="shared" si="36"/>
        <v>0</v>
      </c>
      <c r="AJ29" s="44">
        <v>0</v>
      </c>
      <c r="AK29" s="68">
        <f t="shared" si="37"/>
        <v>0</v>
      </c>
      <c r="AL29" s="68"/>
      <c r="AM29" s="68"/>
      <c r="AP29" s="44">
        <v>0</v>
      </c>
      <c r="AQ29" s="68">
        <f t="shared" si="38"/>
        <v>0</v>
      </c>
      <c r="AT29" s="44">
        <v>0</v>
      </c>
      <c r="AU29" s="68">
        <f t="shared" si="39"/>
        <v>0</v>
      </c>
      <c r="AV29" s="44">
        <v>0</v>
      </c>
      <c r="AW29" s="68">
        <f t="shared" si="40"/>
        <v>0</v>
      </c>
      <c r="AX29" s="44">
        <v>0</v>
      </c>
      <c r="AY29" s="68">
        <f t="shared" si="41"/>
        <v>0</v>
      </c>
      <c r="AZ29" s="58" t="s">
        <v>63</v>
      </c>
      <c r="BA29" s="59"/>
      <c r="BB29" s="62"/>
      <c r="BC29" s="60"/>
      <c r="BD29" s="60"/>
      <c r="BE29" s="5"/>
      <c r="BF29" s="15"/>
      <c r="BG29" s="18"/>
      <c r="BH29" s="18"/>
      <c r="BI29" s="18"/>
      <c r="BJ29" s="18"/>
      <c r="BK29" s="18"/>
      <c r="BL29" s="18"/>
    </row>
    <row r="30" spans="1:63" ht="19.5" customHeight="1">
      <c r="A30" s="13" t="s">
        <v>10</v>
      </c>
      <c r="B30" s="37">
        <f>0.7/1000</f>
        <v>0.0007000000000000001</v>
      </c>
      <c r="C30" s="37">
        <f t="shared" si="21"/>
        <v>3.447248140603599E-05</v>
      </c>
      <c r="D30" s="37">
        <f>372/1000</f>
        <v>0.372</v>
      </c>
      <c r="E30" s="37">
        <f t="shared" si="22"/>
        <v>0.0017594473050072657</v>
      </c>
      <c r="F30" s="37">
        <v>0</v>
      </c>
      <c r="G30" s="37">
        <f t="shared" si="23"/>
        <v>0</v>
      </c>
      <c r="H30" s="37">
        <v>0</v>
      </c>
      <c r="I30" s="37">
        <f t="shared" si="24"/>
        <v>0</v>
      </c>
      <c r="J30" s="37">
        <v>0</v>
      </c>
      <c r="K30" s="37">
        <f t="shared" si="25"/>
        <v>0</v>
      </c>
      <c r="L30" s="37">
        <v>0</v>
      </c>
      <c r="M30" s="37">
        <f t="shared" si="26"/>
        <v>0</v>
      </c>
      <c r="N30" s="43">
        <v>0</v>
      </c>
      <c r="O30" s="37">
        <f t="shared" si="27"/>
        <v>0</v>
      </c>
      <c r="P30" s="43">
        <v>0</v>
      </c>
      <c r="Q30" s="68">
        <f t="shared" si="28"/>
        <v>0</v>
      </c>
      <c r="R30" s="44">
        <v>0</v>
      </c>
      <c r="S30" s="68">
        <f t="shared" si="29"/>
        <v>0</v>
      </c>
      <c r="T30" s="44">
        <v>0</v>
      </c>
      <c r="U30" s="68">
        <f t="shared" si="30"/>
        <v>0</v>
      </c>
      <c r="V30" s="44">
        <v>0</v>
      </c>
      <c r="W30" s="68">
        <f t="shared" si="31"/>
        <v>0</v>
      </c>
      <c r="X30" s="44">
        <v>0</v>
      </c>
      <c r="Y30" s="68">
        <f t="shared" si="31"/>
        <v>0</v>
      </c>
      <c r="Z30" s="44">
        <v>0</v>
      </c>
      <c r="AA30" s="68">
        <f t="shared" si="32"/>
        <v>0</v>
      </c>
      <c r="AB30" s="44">
        <v>0</v>
      </c>
      <c r="AC30" s="68">
        <f t="shared" si="33"/>
        <v>0</v>
      </c>
      <c r="AD30" s="44">
        <f t="shared" si="33"/>
        <v>0</v>
      </c>
      <c r="AE30" s="68">
        <f t="shared" si="34"/>
        <v>0</v>
      </c>
      <c r="AF30" s="44">
        <v>0</v>
      </c>
      <c r="AG30" s="68">
        <f t="shared" si="35"/>
        <v>0</v>
      </c>
      <c r="AH30" s="44">
        <v>0</v>
      </c>
      <c r="AI30" s="68">
        <f t="shared" si="36"/>
        <v>0</v>
      </c>
      <c r="AJ30" s="44">
        <v>0</v>
      </c>
      <c r="AK30" s="68">
        <f t="shared" si="37"/>
        <v>0</v>
      </c>
      <c r="AL30" s="68"/>
      <c r="AM30" s="68"/>
      <c r="AP30" s="44">
        <v>0</v>
      </c>
      <c r="AQ30" s="68">
        <f t="shared" si="38"/>
        <v>0</v>
      </c>
      <c r="AT30" s="44">
        <v>0</v>
      </c>
      <c r="AU30" s="68">
        <f t="shared" si="39"/>
        <v>0</v>
      </c>
      <c r="AV30" s="44">
        <v>0</v>
      </c>
      <c r="AW30" s="68">
        <f t="shared" si="40"/>
        <v>0</v>
      </c>
      <c r="AX30" s="44">
        <v>0</v>
      </c>
      <c r="AY30" s="68">
        <f t="shared" si="41"/>
        <v>0</v>
      </c>
      <c r="AZ30" s="58" t="s">
        <v>64</v>
      </c>
      <c r="BA30" s="59"/>
      <c r="BB30" s="62"/>
      <c r="BC30" s="60"/>
      <c r="BD30" s="60"/>
      <c r="BE30" s="5"/>
      <c r="BF30" s="15"/>
      <c r="BG30" s="18"/>
      <c r="BH30" s="18"/>
      <c r="BI30" s="18"/>
      <c r="BJ30" s="18"/>
      <c r="BK30" s="18"/>
    </row>
    <row r="31" spans="1:62" ht="19.5" customHeight="1">
      <c r="A31" s="13" t="s">
        <v>65</v>
      </c>
      <c r="B31" s="37">
        <v>0</v>
      </c>
      <c r="C31" s="37">
        <f t="shared" si="21"/>
        <v>0</v>
      </c>
      <c r="D31" s="37">
        <v>0</v>
      </c>
      <c r="E31" s="37">
        <f t="shared" si="22"/>
        <v>0</v>
      </c>
      <c r="F31" s="37">
        <v>0</v>
      </c>
      <c r="G31" s="37">
        <f t="shared" si="23"/>
        <v>0</v>
      </c>
      <c r="H31" s="37">
        <v>0</v>
      </c>
      <c r="I31" s="37">
        <f t="shared" si="24"/>
        <v>0</v>
      </c>
      <c r="J31" s="37">
        <v>0</v>
      </c>
      <c r="K31" s="37">
        <f t="shared" si="25"/>
        <v>0</v>
      </c>
      <c r="L31" s="37">
        <v>0</v>
      </c>
      <c r="M31" s="37">
        <f t="shared" si="26"/>
        <v>0</v>
      </c>
      <c r="N31" s="43">
        <v>0</v>
      </c>
      <c r="O31" s="37">
        <f t="shared" si="27"/>
        <v>0</v>
      </c>
      <c r="P31" s="43">
        <v>0</v>
      </c>
      <c r="Q31" s="68">
        <f t="shared" si="28"/>
        <v>0</v>
      </c>
      <c r="R31" s="44">
        <v>0</v>
      </c>
      <c r="S31" s="68">
        <f t="shared" si="29"/>
        <v>0</v>
      </c>
      <c r="T31" s="44">
        <v>0</v>
      </c>
      <c r="U31" s="68">
        <f t="shared" si="30"/>
        <v>0</v>
      </c>
      <c r="V31" s="44">
        <v>0</v>
      </c>
      <c r="W31" s="68">
        <f t="shared" si="31"/>
        <v>0</v>
      </c>
      <c r="X31" s="44">
        <v>0</v>
      </c>
      <c r="Y31" s="68">
        <f t="shared" si="31"/>
        <v>0</v>
      </c>
      <c r="Z31" s="44">
        <v>0</v>
      </c>
      <c r="AA31" s="68">
        <f t="shared" si="32"/>
        <v>0</v>
      </c>
      <c r="AB31" s="44">
        <v>0</v>
      </c>
      <c r="AC31" s="68">
        <f t="shared" si="33"/>
        <v>0</v>
      </c>
      <c r="AD31" s="44">
        <f t="shared" si="33"/>
        <v>0</v>
      </c>
      <c r="AE31" s="68">
        <f t="shared" si="34"/>
        <v>0</v>
      </c>
      <c r="AF31" s="44">
        <v>0</v>
      </c>
      <c r="AG31" s="68">
        <f t="shared" si="35"/>
        <v>0</v>
      </c>
      <c r="AH31" s="44">
        <v>0</v>
      </c>
      <c r="AI31" s="68">
        <f t="shared" si="36"/>
        <v>0</v>
      </c>
      <c r="AJ31" s="44">
        <v>0</v>
      </c>
      <c r="AK31" s="68">
        <f t="shared" si="37"/>
        <v>0</v>
      </c>
      <c r="AL31" s="68"/>
      <c r="AM31" s="68"/>
      <c r="AP31" s="44">
        <v>0</v>
      </c>
      <c r="AQ31" s="68">
        <f t="shared" si="38"/>
        <v>0</v>
      </c>
      <c r="AT31" s="44">
        <v>0</v>
      </c>
      <c r="AU31" s="68">
        <f t="shared" si="39"/>
        <v>0</v>
      </c>
      <c r="AV31" s="44">
        <v>0</v>
      </c>
      <c r="AW31" s="68">
        <f t="shared" si="40"/>
        <v>0</v>
      </c>
      <c r="AX31" s="44">
        <v>0</v>
      </c>
      <c r="AY31" s="68">
        <f t="shared" si="41"/>
        <v>0</v>
      </c>
      <c r="AZ31" s="58" t="s">
        <v>66</v>
      </c>
      <c r="BA31" s="59"/>
      <c r="BB31" s="62"/>
      <c r="BC31" s="60"/>
      <c r="BD31" s="60"/>
      <c r="BE31" s="5"/>
      <c r="BF31" s="15"/>
      <c r="BG31" s="5"/>
      <c r="BH31" s="5"/>
      <c r="BI31" s="5"/>
      <c r="BJ31" s="5"/>
    </row>
    <row r="32" spans="1:62" ht="19.5" customHeight="1">
      <c r="A32" s="13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43"/>
      <c r="O32" s="37"/>
      <c r="P32" s="43"/>
      <c r="Q32" s="37"/>
      <c r="R32" s="44"/>
      <c r="S32" s="68"/>
      <c r="T32" s="43"/>
      <c r="U32" s="68"/>
      <c r="V32" s="44"/>
      <c r="W32" s="68"/>
      <c r="X32" s="44"/>
      <c r="Y32" s="68"/>
      <c r="Z32" s="44"/>
      <c r="AA32" s="68"/>
      <c r="AB32" s="44"/>
      <c r="AC32" s="68"/>
      <c r="AD32" s="44"/>
      <c r="AE32" s="68"/>
      <c r="AF32" s="68"/>
      <c r="AG32" s="68"/>
      <c r="AH32" s="44"/>
      <c r="AI32" s="68"/>
      <c r="AJ32" s="44"/>
      <c r="AK32" s="68"/>
      <c r="AL32" s="68"/>
      <c r="AM32" s="68"/>
      <c r="AT32" s="44"/>
      <c r="AU32" s="68"/>
      <c r="AV32" s="44"/>
      <c r="AW32" s="68"/>
      <c r="AX32" s="44"/>
      <c r="AY32" s="68"/>
      <c r="AZ32" s="58"/>
      <c r="BA32" s="59"/>
      <c r="BB32" s="62"/>
      <c r="BC32" s="60"/>
      <c r="BD32" s="60"/>
      <c r="BE32" s="5"/>
      <c r="BF32" s="15"/>
      <c r="BG32" s="5"/>
      <c r="BH32" s="5"/>
      <c r="BI32" s="5"/>
      <c r="BJ32" s="5"/>
    </row>
    <row r="33" spans="1:63" ht="19.5" customHeight="1">
      <c r="A33" s="16" t="s">
        <v>11</v>
      </c>
      <c r="B33" s="38">
        <f>B9+B21</f>
        <v>2030.6052000000004</v>
      </c>
      <c r="C33" s="38">
        <f>(B33/$B$33)*100</f>
        <v>100</v>
      </c>
      <c r="D33" s="38">
        <f>D9+D21</f>
        <v>21143.003200000003</v>
      </c>
      <c r="E33" s="38">
        <f>(D33/$D$33)*100</f>
        <v>100</v>
      </c>
      <c r="F33" s="38">
        <f>F9+F21</f>
        <v>73978.79900000001</v>
      </c>
      <c r="G33" s="38">
        <f>(F33/$F$33)*100</f>
        <v>100</v>
      </c>
      <c r="H33" s="38">
        <f>H9+H21</f>
        <v>173782</v>
      </c>
      <c r="I33" s="38">
        <f>(H33/$H$33)*100</f>
        <v>100</v>
      </c>
      <c r="J33" s="38">
        <f>J9+J21</f>
        <v>298584.2</v>
      </c>
      <c r="K33" s="38">
        <f>(J33/$J$33)*100</f>
        <v>100</v>
      </c>
      <c r="L33" s="38">
        <f>L9+L21</f>
        <v>1085422.108</v>
      </c>
      <c r="M33" s="38">
        <f>(L33/$L$33)*100</f>
        <v>100</v>
      </c>
      <c r="N33" s="42">
        <f>N9+N21</f>
        <v>1005669.943</v>
      </c>
      <c r="O33" s="38">
        <f>(N33/$N$33)*100</f>
        <v>100</v>
      </c>
      <c r="P33" s="45">
        <f>P21+P9</f>
        <v>1007409.7383999999</v>
      </c>
      <c r="Q33" s="38">
        <f>(P33/$P$33)*100</f>
        <v>100</v>
      </c>
      <c r="R33" s="45">
        <f>R21+R9</f>
        <v>373877.088</v>
      </c>
      <c r="S33" s="39">
        <v>100</v>
      </c>
      <c r="T33" s="45">
        <f>T21+T9</f>
        <v>605625.715966</v>
      </c>
      <c r="U33" s="39">
        <v>100</v>
      </c>
      <c r="V33" s="45">
        <f>V21+V9</f>
        <v>9506756.856619999</v>
      </c>
      <c r="W33" s="39">
        <v>100</v>
      </c>
      <c r="X33" s="45">
        <f>X21+X9</f>
        <v>1082200.7000000002</v>
      </c>
      <c r="Y33" s="39">
        <v>100</v>
      </c>
      <c r="Z33" s="45">
        <f>Z21+Z9</f>
        <v>964407.564</v>
      </c>
      <c r="AA33" s="39">
        <v>100</v>
      </c>
      <c r="AB33" s="45">
        <f>AB21+AB9</f>
        <v>991700.4237624999</v>
      </c>
      <c r="AC33" s="39">
        <v>100</v>
      </c>
      <c r="AD33" s="45">
        <f>AD21+AD9</f>
        <v>804823.24371813</v>
      </c>
      <c r="AE33" s="39">
        <v>100</v>
      </c>
      <c r="AF33" s="45">
        <f>AF21+AF9</f>
        <v>1045475.43821051</v>
      </c>
      <c r="AG33" s="39">
        <f>AF33/AF$33*100</f>
        <v>100</v>
      </c>
      <c r="AH33" s="45">
        <f>AH21+AH9</f>
        <v>1264955</v>
      </c>
      <c r="AI33" s="39">
        <f>AH33/AH$33*100</f>
        <v>100</v>
      </c>
      <c r="AJ33" s="45">
        <f>AJ21+AJ9</f>
        <v>1549171.6915600002</v>
      </c>
      <c r="AK33" s="39">
        <f>AJ33/AJ$33*100</f>
        <v>100</v>
      </c>
      <c r="AL33" s="68"/>
      <c r="AM33" s="68"/>
      <c r="AP33" s="45">
        <f>AP9+AP21</f>
        <v>1556119.79886</v>
      </c>
      <c r="AQ33" s="39">
        <f>AP33/AP$33*100</f>
        <v>100</v>
      </c>
      <c r="AT33" s="45">
        <f>AT21+AT9</f>
        <v>1628383.29198</v>
      </c>
      <c r="AU33" s="39">
        <f>AT33/AT$33*100</f>
        <v>100</v>
      </c>
      <c r="AV33" s="45">
        <f>AV21+AV9</f>
        <v>1405706.5369</v>
      </c>
      <c r="AW33" s="39">
        <f>AV33/AV$33*100</f>
        <v>100</v>
      </c>
      <c r="AX33" s="45">
        <f>AX21+AX9</f>
        <v>1187826.70165</v>
      </c>
      <c r="AY33" s="39">
        <f>AX33/AX$33*100</f>
        <v>100</v>
      </c>
      <c r="AZ33" s="17" t="s">
        <v>69</v>
      </c>
      <c r="BA33" s="83"/>
      <c r="BB33" s="62"/>
      <c r="BC33" s="60"/>
      <c r="BD33" s="60"/>
      <c r="BE33" s="22"/>
      <c r="BF33" s="15"/>
      <c r="BG33" s="18"/>
      <c r="BH33" s="18"/>
      <c r="BI33" s="18"/>
      <c r="BJ33" s="18"/>
      <c r="BK33" s="18"/>
    </row>
    <row r="34" spans="1:58" ht="19.5" customHeight="1">
      <c r="A34" s="65" t="s">
        <v>70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58"/>
      <c r="AL34" s="58"/>
      <c r="AM34" s="58"/>
      <c r="AN34" s="40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BA34" s="66" t="s">
        <v>91</v>
      </c>
      <c r="BB34" s="22"/>
      <c r="BC34" s="5"/>
      <c r="BD34" s="5"/>
      <c r="BE34" s="5"/>
      <c r="BF34" s="5"/>
    </row>
    <row r="35" spans="1:58" ht="19.5" customHeight="1">
      <c r="A35" s="67" t="s">
        <v>71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3"/>
      <c r="AG35" s="4"/>
      <c r="AH35" s="52"/>
      <c r="AI35" s="52"/>
      <c r="AJ35" s="52"/>
      <c r="AN35" s="23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BA35" s="66" t="s">
        <v>72</v>
      </c>
      <c r="BB35" s="4"/>
      <c r="BC35" s="5"/>
      <c r="BD35" s="5"/>
      <c r="BE35" s="5"/>
      <c r="BF35" s="5"/>
    </row>
    <row r="36" spans="1:58" ht="19.5" customHeight="1">
      <c r="A36" s="65" t="s">
        <v>73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52"/>
      <c r="AI36" s="52"/>
      <c r="AJ36" s="52"/>
      <c r="AN36" s="41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BA36" s="66" t="s">
        <v>74</v>
      </c>
      <c r="BB36" s="5"/>
      <c r="BC36" s="5"/>
      <c r="BD36" s="5"/>
      <c r="BE36" s="5"/>
      <c r="BF36" s="5"/>
    </row>
    <row r="37" spans="1:58" ht="19.5" customHeight="1">
      <c r="A37" s="50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52"/>
      <c r="AI37" s="52"/>
      <c r="AJ37" s="52"/>
      <c r="AK37" s="14"/>
      <c r="AL37" s="14"/>
      <c r="AM37" s="14"/>
      <c r="AN37" s="23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BA37" s="4"/>
      <c r="BB37" s="4"/>
      <c r="BC37" s="5"/>
      <c r="BD37" s="5"/>
      <c r="BE37" s="5"/>
      <c r="BF37" s="5"/>
    </row>
    <row r="38" spans="1:58" ht="19.5" customHeight="1">
      <c r="A38" s="50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1"/>
      <c r="BA38" s="4"/>
      <c r="BB38" s="4"/>
      <c r="BC38" s="5"/>
      <c r="BD38" s="5"/>
      <c r="BE38" s="5"/>
      <c r="BF38" s="5"/>
    </row>
    <row r="39" spans="1:58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"/>
      <c r="BD39" s="5"/>
      <c r="BE39" s="5"/>
      <c r="BF39" s="5"/>
    </row>
    <row r="40" spans="1:58" s="10" customFormat="1" ht="20.25" customHeight="1">
      <c r="A40" s="6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E40" s="7" t="s">
        <v>100</v>
      </c>
      <c r="BF40" s="9"/>
    </row>
    <row r="41" spans="1:58" s="10" customFormat="1" ht="20.25" customHeight="1">
      <c r="A41" s="11" t="s">
        <v>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E41" s="55" t="s">
        <v>106</v>
      </c>
      <c r="BF41" s="9"/>
    </row>
    <row r="42" spans="1:62" s="10" customFormat="1" ht="19.5" customHeight="1">
      <c r="A42" s="25"/>
      <c r="B42" s="26"/>
      <c r="C42" s="26" t="s">
        <v>6</v>
      </c>
      <c r="D42" s="26"/>
      <c r="E42" s="26" t="s">
        <v>34</v>
      </c>
      <c r="F42" s="26"/>
      <c r="G42" s="26" t="s">
        <v>34</v>
      </c>
      <c r="H42" s="26"/>
      <c r="I42" s="26" t="s">
        <v>34</v>
      </c>
      <c r="J42" s="26"/>
      <c r="K42" s="26" t="s">
        <v>34</v>
      </c>
      <c r="L42" s="26"/>
      <c r="M42" s="26" t="s">
        <v>34</v>
      </c>
      <c r="N42" s="26"/>
      <c r="O42" s="26" t="s">
        <v>34</v>
      </c>
      <c r="P42" s="26"/>
      <c r="Q42" s="26" t="s">
        <v>34</v>
      </c>
      <c r="R42" s="26"/>
      <c r="S42" s="26" t="s">
        <v>34</v>
      </c>
      <c r="T42" s="26"/>
      <c r="U42" s="26" t="s">
        <v>34</v>
      </c>
      <c r="V42" s="26"/>
      <c r="W42" s="26" t="s">
        <v>34</v>
      </c>
      <c r="X42" s="26"/>
      <c r="Y42" s="26" t="s">
        <v>34</v>
      </c>
      <c r="Z42" s="26"/>
      <c r="AA42" s="26" t="s">
        <v>34</v>
      </c>
      <c r="AB42" s="26"/>
      <c r="AC42" s="26" t="s">
        <v>34</v>
      </c>
      <c r="AD42" s="26"/>
      <c r="AE42" s="26" t="s">
        <v>34</v>
      </c>
      <c r="AF42" s="26"/>
      <c r="AG42" s="26" t="s">
        <v>34</v>
      </c>
      <c r="AH42" s="26"/>
      <c r="AI42" s="26" t="s">
        <v>34</v>
      </c>
      <c r="AJ42" s="26"/>
      <c r="AK42" s="26" t="s">
        <v>34</v>
      </c>
      <c r="AL42" s="26"/>
      <c r="AM42" s="26" t="s">
        <v>34</v>
      </c>
      <c r="AN42" s="26"/>
      <c r="AO42" s="26" t="s">
        <v>34</v>
      </c>
      <c r="AP42" s="26"/>
      <c r="AQ42" s="26" t="s">
        <v>34</v>
      </c>
      <c r="AR42" s="26"/>
      <c r="AS42" s="26" t="s">
        <v>34</v>
      </c>
      <c r="AT42" s="26"/>
      <c r="AU42" s="26" t="s">
        <v>34</v>
      </c>
      <c r="AV42" s="26"/>
      <c r="AW42" s="26" t="s">
        <v>34</v>
      </c>
      <c r="AX42" s="26"/>
      <c r="AY42" s="26" t="s">
        <v>34</v>
      </c>
      <c r="AZ42" s="26"/>
      <c r="BA42" s="26" t="s">
        <v>34</v>
      </c>
      <c r="BB42" s="86"/>
      <c r="BC42" s="86"/>
      <c r="BD42" s="86"/>
      <c r="BE42" s="87"/>
      <c r="BF42" s="27"/>
      <c r="BG42" s="9"/>
      <c r="BH42" s="9"/>
      <c r="BI42" s="9"/>
      <c r="BJ42" s="9"/>
    </row>
    <row r="43" spans="1:62" s="10" customFormat="1" ht="22.5" customHeight="1">
      <c r="A43" s="94"/>
      <c r="B43" s="55" t="s">
        <v>0</v>
      </c>
      <c r="C43" s="55" t="s">
        <v>1</v>
      </c>
      <c r="D43" s="55" t="s">
        <v>2</v>
      </c>
      <c r="E43" s="55" t="s">
        <v>35</v>
      </c>
      <c r="F43" s="55" t="s">
        <v>3</v>
      </c>
      <c r="G43" s="55" t="s">
        <v>35</v>
      </c>
      <c r="H43" s="55" t="s">
        <v>5</v>
      </c>
      <c r="I43" s="55" t="s">
        <v>35</v>
      </c>
      <c r="J43" s="55" t="s">
        <v>33</v>
      </c>
      <c r="K43" s="55" t="s">
        <v>35</v>
      </c>
      <c r="L43" s="55" t="s">
        <v>36</v>
      </c>
      <c r="M43" s="55" t="s">
        <v>35</v>
      </c>
      <c r="N43" s="55" t="s">
        <v>37</v>
      </c>
      <c r="O43" s="55" t="s">
        <v>35</v>
      </c>
      <c r="P43" s="95" t="s">
        <v>38</v>
      </c>
      <c r="Q43" s="55" t="s">
        <v>35</v>
      </c>
      <c r="R43" s="95" t="s">
        <v>39</v>
      </c>
      <c r="S43" s="55" t="s">
        <v>35</v>
      </c>
      <c r="T43" s="95" t="s">
        <v>75</v>
      </c>
      <c r="U43" s="55" t="s">
        <v>35</v>
      </c>
      <c r="V43" s="95" t="s">
        <v>76</v>
      </c>
      <c r="W43" s="55" t="s">
        <v>35</v>
      </c>
      <c r="X43" s="55" t="s">
        <v>90</v>
      </c>
      <c r="Y43" s="55" t="s">
        <v>35</v>
      </c>
      <c r="Z43" s="96" t="s">
        <v>94</v>
      </c>
      <c r="AA43" s="55" t="s">
        <v>35</v>
      </c>
      <c r="AB43" s="97" t="s">
        <v>96</v>
      </c>
      <c r="AC43" s="55" t="s">
        <v>35</v>
      </c>
      <c r="AD43" s="97" t="s">
        <v>98</v>
      </c>
      <c r="AE43" s="55" t="s">
        <v>35</v>
      </c>
      <c r="AF43" s="97" t="s">
        <v>102</v>
      </c>
      <c r="AG43" s="55" t="s">
        <v>35</v>
      </c>
      <c r="AH43" s="55">
        <v>2010</v>
      </c>
      <c r="AI43" s="55" t="s">
        <v>35</v>
      </c>
      <c r="AJ43" s="55">
        <v>2011</v>
      </c>
      <c r="AK43" s="55" t="s">
        <v>35</v>
      </c>
      <c r="AL43" s="55">
        <v>2012</v>
      </c>
      <c r="AM43" s="55" t="s">
        <v>35</v>
      </c>
      <c r="AN43" s="55">
        <v>2013</v>
      </c>
      <c r="AO43" s="55" t="s">
        <v>35</v>
      </c>
      <c r="AP43" s="96" t="s">
        <v>115</v>
      </c>
      <c r="AQ43" s="55" t="s">
        <v>35</v>
      </c>
      <c r="AR43" s="96" t="s">
        <v>116</v>
      </c>
      <c r="AS43" s="55" t="s">
        <v>35</v>
      </c>
      <c r="AT43" s="96" t="s">
        <v>117</v>
      </c>
      <c r="AU43" s="55" t="s">
        <v>35</v>
      </c>
      <c r="AV43" s="96" t="s">
        <v>118</v>
      </c>
      <c r="AW43" s="55" t="s">
        <v>35</v>
      </c>
      <c r="AX43" s="96" t="s">
        <v>120</v>
      </c>
      <c r="AY43" s="55" t="s">
        <v>35</v>
      </c>
      <c r="AZ43" s="96" t="s">
        <v>122</v>
      </c>
      <c r="BA43" s="55" t="s">
        <v>35</v>
      </c>
      <c r="BB43" s="8"/>
      <c r="BC43" s="8"/>
      <c r="BD43" s="8"/>
      <c r="BE43" s="98"/>
      <c r="BF43" s="9"/>
      <c r="BG43" s="9"/>
      <c r="BH43" s="9"/>
      <c r="BI43" s="9"/>
      <c r="BJ43" s="9"/>
    </row>
    <row r="44" spans="1:62" ht="19.5" customHeight="1">
      <c r="A44" s="99"/>
      <c r="B44" s="100"/>
      <c r="C44" s="100"/>
      <c r="D44" s="100"/>
      <c r="E44" s="100"/>
      <c r="F44" s="100"/>
      <c r="G44" s="100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0"/>
      <c r="BC44" s="100"/>
      <c r="BD44" s="100"/>
      <c r="BE44" s="102"/>
      <c r="BF44" s="5"/>
      <c r="BG44" s="5"/>
      <c r="BH44" s="5"/>
      <c r="BI44" s="5"/>
      <c r="BJ44" s="5"/>
    </row>
    <row r="45" spans="1:62" ht="19.5" customHeight="1">
      <c r="A45" s="13" t="s">
        <v>12</v>
      </c>
      <c r="B45" s="69">
        <f>SUM(B46:B50)</f>
        <v>334597.1</v>
      </c>
      <c r="C45" s="70">
        <f>B45/B$65*100</f>
        <v>81.35941428495008</v>
      </c>
      <c r="D45" s="69">
        <f>SUM(D46:D50)</f>
        <v>1553758.3000000003</v>
      </c>
      <c r="E45" s="70">
        <f>D45/D$65*100</f>
        <v>90.34934320957589</v>
      </c>
      <c r="F45" s="69">
        <f>SUM(F46:F50)</f>
        <v>5286050.58544</v>
      </c>
      <c r="G45" s="70">
        <f>F45/F$65*100</f>
        <v>97.02715192212541</v>
      </c>
      <c r="H45" s="69">
        <v>6740407</v>
      </c>
      <c r="I45" s="70">
        <f>H45/H$65*100</f>
        <v>94.68384689827212</v>
      </c>
      <c r="J45" s="69">
        <v>15734726</v>
      </c>
      <c r="K45" s="70">
        <f>J45/J$65*100</f>
        <v>94.92186105660072</v>
      </c>
      <c r="L45" s="71">
        <f>L46+L47</f>
        <v>30258147</v>
      </c>
      <c r="M45" s="70">
        <f>L45/L$65*100</f>
        <v>97.25027235359593</v>
      </c>
      <c r="N45" s="72">
        <f>N46+N47</f>
        <v>47234310</v>
      </c>
      <c r="O45" s="70">
        <f>N45/N$65*100</f>
        <v>89.07662378994299</v>
      </c>
      <c r="P45" s="72">
        <f>P46+P47</f>
        <v>41045143</v>
      </c>
      <c r="Q45" s="70">
        <f>P45/P$65*100</f>
        <v>87.74916523025887</v>
      </c>
      <c r="R45" s="73">
        <f>R46+R47+R48+R50</f>
        <v>98868011</v>
      </c>
      <c r="S45" s="74">
        <f>R45/R$65*100</f>
        <v>96.00913332943348</v>
      </c>
      <c r="T45" s="73">
        <f>T46+T47+T48+T50</f>
        <v>118806430.564</v>
      </c>
      <c r="U45" s="74">
        <f>T45/T$65*100</f>
        <v>93.77863999676316</v>
      </c>
      <c r="V45" s="73">
        <f>V46+V47+V48+V50</f>
        <v>112754491.58</v>
      </c>
      <c r="W45" s="74">
        <f>V45/V$65*100</f>
        <v>91.33513858122586</v>
      </c>
      <c r="X45" s="73">
        <f>X46+X47+X48+X50</f>
        <v>74247798.3</v>
      </c>
      <c r="Y45" s="74">
        <f>X45/X$65*100</f>
        <v>90.95371197242773</v>
      </c>
      <c r="Z45" s="73">
        <f>Z46+Z47+Z48+Z50</f>
        <v>66546474.0037</v>
      </c>
      <c r="AA45" s="74">
        <f>Z45/Z$65*100</f>
        <v>76.62179041710014</v>
      </c>
      <c r="AB45" s="73">
        <f>AB46+AB47+AB48+AB49+AB50</f>
        <v>56365368.3896</v>
      </c>
      <c r="AC45" s="74">
        <f aca="true" t="shared" si="42" ref="AC45:AC50">AB45/AB$65*100</f>
        <v>84.24353145638132</v>
      </c>
      <c r="AD45" s="73">
        <f>AD46+AD47+AD48+AD49+AD50</f>
        <v>52321172</v>
      </c>
      <c r="AE45" s="74">
        <f aca="true" t="shared" si="43" ref="AE45:AE50">AD45/AD$65*100</f>
        <v>65.67165685275623</v>
      </c>
      <c r="AF45" s="79">
        <f>AF46+AF47+AF48+AF49+AF50</f>
        <v>68810480.4998</v>
      </c>
      <c r="AG45" s="78">
        <f aca="true" t="shared" si="44" ref="AG45:AG50">AF45/AF$65*100</f>
        <v>61.90271431036977</v>
      </c>
      <c r="AH45" s="79">
        <f>SUM(AH46:AH50)</f>
        <v>162187955.65809876</v>
      </c>
      <c r="AI45" s="78">
        <f aca="true" t="shared" si="45" ref="AI45:AI50">AH45/AH$65*100</f>
        <v>79.79396786646926</v>
      </c>
      <c r="AJ45" s="79">
        <f>SUM(AJ46:AJ50)</f>
        <v>108364972.30471927</v>
      </c>
      <c r="AK45" s="78">
        <f aca="true" t="shared" si="46" ref="AK45:AK50">AJ45/AJ$65*100</f>
        <v>54.67758262434867</v>
      </c>
      <c r="AL45" s="79">
        <f>SUM(AL46:AL50)</f>
        <v>82107873.9571681</v>
      </c>
      <c r="AM45" s="78">
        <f aca="true" t="shared" si="47" ref="AM45:AM50">AL45/AL$65*100</f>
        <v>48.29156863621484</v>
      </c>
      <c r="AN45" s="79">
        <f>SUM(AN46:AN50)</f>
        <v>403006953.57811</v>
      </c>
      <c r="AO45" s="78">
        <f aca="true" t="shared" si="48" ref="AO45:AO50">AN45/AN$65*100</f>
        <v>73.85012485662824</v>
      </c>
      <c r="AP45" s="79">
        <f>SUM(AP46:AP50)</f>
        <v>415834667.8681369</v>
      </c>
      <c r="AQ45" s="78">
        <f aca="true" t="shared" si="49" ref="AQ45:AQ50">AP45/AP$65*100</f>
        <v>63.46890845691727</v>
      </c>
      <c r="AR45" s="79">
        <f>SUM(AR46:AR50)</f>
        <v>441971187.83</v>
      </c>
      <c r="AS45" s="78">
        <f aca="true" t="shared" si="50" ref="AS45:AS50">AR45/AR$65*100</f>
        <v>74.08926903827403</v>
      </c>
      <c r="AT45" s="79">
        <f>SUM(AT46:AT50)</f>
        <v>535447.61796319</v>
      </c>
      <c r="AU45" s="78">
        <f aca="true" t="shared" si="51" ref="AU45:AU50">AT45/AT$65*100</f>
        <v>74.51256701673678</v>
      </c>
      <c r="AV45" s="79">
        <f>SUM(AV46:AV50)</f>
        <v>586141.9215974797</v>
      </c>
      <c r="AW45" s="78">
        <f aca="true" t="shared" si="52" ref="AW45:AW50">AV45/AV$65*100</f>
        <v>75.6289724061141</v>
      </c>
      <c r="AX45" s="90">
        <v>755051.8430191402</v>
      </c>
      <c r="AY45" s="78">
        <f>AX45/AX$65*100</f>
        <v>78.48915850916308</v>
      </c>
      <c r="AZ45" s="90">
        <v>1060353.5286876098</v>
      </c>
      <c r="BA45" s="78">
        <f>AZ45/AZ$65*100</f>
        <v>41.19680218029543</v>
      </c>
      <c r="BB45" s="58" t="s">
        <v>21</v>
      </c>
      <c r="BC45" s="58"/>
      <c r="BD45" s="58"/>
      <c r="BE45" s="88"/>
      <c r="BF45" s="5"/>
      <c r="BG45" s="5"/>
      <c r="BH45" s="5"/>
      <c r="BI45" s="5"/>
      <c r="BJ45" s="5"/>
    </row>
    <row r="46" spans="1:62" ht="19.5" customHeight="1">
      <c r="A46" s="46" t="s">
        <v>13</v>
      </c>
      <c r="B46" s="69">
        <v>150090.2</v>
      </c>
      <c r="C46" s="70">
        <f>B46/B$65*100</f>
        <v>36.49538732377243</v>
      </c>
      <c r="D46" s="69">
        <v>343345.4</v>
      </c>
      <c r="E46" s="70">
        <f>D46/D$65*100</f>
        <v>19.96515892081099</v>
      </c>
      <c r="F46" s="69">
        <v>1247869</v>
      </c>
      <c r="G46" s="70">
        <f>F46/F$65*100</f>
        <v>22.90503525929321</v>
      </c>
      <c r="H46" s="69">
        <f>1955722+255893+146432</f>
        <v>2358047</v>
      </c>
      <c r="I46" s="70">
        <f>H46/H$65*100</f>
        <v>33.12395840888093</v>
      </c>
      <c r="J46" s="69">
        <f>437515+527611+395067</f>
        <v>1360193</v>
      </c>
      <c r="K46" s="70">
        <f>J46/J$65*100</f>
        <v>8.205548095096216</v>
      </c>
      <c r="L46" s="71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70">
        <f>L46/L$65*100</f>
        <v>68.70848457129418</v>
      </c>
      <c r="N46" s="72">
        <f>604950+2088667+617665+2389724+698100+2018222+824870+437056+22788145+304500+818390+767235+987450+1332753+252200+177000+81500+1296655+171300+302400+574340+941140+161143</f>
        <v>40635405</v>
      </c>
      <c r="O46" s="70">
        <f>N46/N$65*100</f>
        <v>76.63210669822355</v>
      </c>
      <c r="P46" s="72">
        <f>438529+10598</f>
        <v>449127</v>
      </c>
      <c r="Q46" s="70">
        <f>P46/P$65*100</f>
        <v>0.960174979348238</v>
      </c>
      <c r="R46" s="73">
        <f>1185722+915494+1349729+789798+595002+483078+374701+946000+480586+1390109+621768</f>
        <v>9131987</v>
      </c>
      <c r="S46" s="74">
        <f>R46/R$65*100</f>
        <v>8.867925515823853</v>
      </c>
      <c r="T46" s="73">
        <f>32425014+544874+1257752+3362487+6052073+4250725</f>
        <v>47892925</v>
      </c>
      <c r="U46" s="74">
        <f>T46/T$65*100</f>
        <v>37.80379017066367</v>
      </c>
      <c r="V46" s="73">
        <f>7997588+5824306+7429935+6661441+1952645+1494222+4552920+3488206+4678047+2365918+5216326+3753721</f>
        <v>55415275</v>
      </c>
      <c r="W46" s="74">
        <f>V46/V$65*100</f>
        <v>44.88833882108079</v>
      </c>
      <c r="X46" s="73">
        <f>5397824+2981176+1940615+3877782+4157170+808786+2938874+3964486+1761658+1859756+3685355+3122377</f>
        <v>36495859</v>
      </c>
      <c r="Y46" s="74">
        <f>X46/X$65*100</f>
        <v>44.7075054570653</v>
      </c>
      <c r="Z46" s="73">
        <f>4399520+3995292+4458438+6599167+3706721+2087236+3597291+2707080+4516474+4254637+4049561+2589561</f>
        <v>46960978</v>
      </c>
      <c r="AA46" s="74">
        <f>Z46/Z$65*100</f>
        <v>54.07099726873565</v>
      </c>
      <c r="AB46" s="73">
        <f>4376621+2755503+3619267+2674641+3417167+4280939+2453443+665046+4323988+2799963+1817998+3053212</f>
        <v>36237788</v>
      </c>
      <c r="AC46" s="74">
        <f t="shared" si="42"/>
        <v>54.160902705125416</v>
      </c>
      <c r="AD46" s="73">
        <f>2611510+1574127+1988811+3317323+1022594+2383611+5010676+3823535+1872157+3846960+3906698+1736876</f>
        <v>33094878</v>
      </c>
      <c r="AE46" s="74">
        <f t="shared" si="43"/>
        <v>41.53950281541536</v>
      </c>
      <c r="AF46" s="79">
        <f>2311300.521+8708980+7949175+7206333+5036243+1207870+2167878+2886109+2978038+6542288+5181084+1018594</f>
        <v>53193892.521</v>
      </c>
      <c r="AG46" s="78">
        <f t="shared" si="44"/>
        <v>47.853848830390724</v>
      </c>
      <c r="AH46" s="79">
        <v>138525318.63214085</v>
      </c>
      <c r="AI46" s="78">
        <f t="shared" si="45"/>
        <v>68.15231611234329</v>
      </c>
      <c r="AJ46" s="79">
        <v>106756537.22471927</v>
      </c>
      <c r="AK46" s="78">
        <f t="shared" si="46"/>
        <v>53.86601648713507</v>
      </c>
      <c r="AL46" s="79">
        <v>78070642.04728538</v>
      </c>
      <c r="AM46" s="78">
        <f t="shared" si="47"/>
        <v>45.91707941270722</v>
      </c>
      <c r="AN46" s="79">
        <v>403006953.57811</v>
      </c>
      <c r="AO46" s="78">
        <f t="shared" si="48"/>
        <v>73.85012485662824</v>
      </c>
      <c r="AP46" s="79">
        <v>414648521.92843</v>
      </c>
      <c r="AQ46" s="78">
        <f t="shared" si="49"/>
        <v>63.287866822149894</v>
      </c>
      <c r="AR46" s="79">
        <v>440124000</v>
      </c>
      <c r="AS46" s="78">
        <f t="shared" si="50"/>
        <v>73.7796180929872</v>
      </c>
      <c r="AT46" s="79">
        <v>534473.3798636099</v>
      </c>
      <c r="AU46" s="78">
        <f t="shared" si="51"/>
        <v>74.37699263140034</v>
      </c>
      <c r="AV46" s="79">
        <v>580646.7481243097</v>
      </c>
      <c r="AW46" s="78">
        <f t="shared" si="52"/>
        <v>74.91993879555693</v>
      </c>
      <c r="AX46" s="90">
        <v>739569.1911739901</v>
      </c>
      <c r="AY46" s="78">
        <f>AX46/AX$65*100</f>
        <v>76.87970569337098</v>
      </c>
      <c r="AZ46" s="90">
        <v>1060353.5286876098</v>
      </c>
      <c r="BA46" s="78">
        <f>AZ46/AZ$65*100</f>
        <v>41.19680218029543</v>
      </c>
      <c r="BB46" s="58" t="s">
        <v>22</v>
      </c>
      <c r="BC46" s="58"/>
      <c r="BD46" s="58"/>
      <c r="BE46" s="88"/>
      <c r="BF46" s="5"/>
      <c r="BG46" s="5"/>
      <c r="BH46" s="5"/>
      <c r="BI46" s="5"/>
      <c r="BJ46" s="5"/>
    </row>
    <row r="47" spans="1:62" ht="19.5" customHeight="1">
      <c r="A47" s="46" t="s">
        <v>7</v>
      </c>
      <c r="B47" s="69">
        <v>179150.9</v>
      </c>
      <c r="C47" s="70">
        <f>B47/B$65*100</f>
        <v>43.56168147488924</v>
      </c>
      <c r="D47" s="69">
        <f>1096321+54001.1+60090.8</f>
        <v>1210412.9000000001</v>
      </c>
      <c r="E47" s="70">
        <f>D47/D$65*100</f>
        <v>70.3841842887649</v>
      </c>
      <c r="F47" s="69">
        <v>3722028</v>
      </c>
      <c r="G47" s="70">
        <f>F47/F$65*100</f>
        <v>68.3190163198834</v>
      </c>
      <c r="H47" s="69">
        <f>H45-H46</f>
        <v>4382360</v>
      </c>
      <c r="I47" s="70">
        <f>H47/H$65*100</f>
        <v>61.5598884893912</v>
      </c>
      <c r="J47" s="69">
        <f>J45-J46</f>
        <v>14374533</v>
      </c>
      <c r="K47" s="70">
        <f>J47/J$65*100</f>
        <v>86.7163129615045</v>
      </c>
      <c r="L47" s="71">
        <f>906707+729905+79123+380959+76999+907209+500636+194714+1117573+969929+453687+285333+828634+575206+406846+466943</f>
        <v>8880403</v>
      </c>
      <c r="M47" s="70">
        <f>L47/L$65*100</f>
        <v>28.541787782301746</v>
      </c>
      <c r="N47" s="72">
        <f>620715+679629+144895+755018+748236+996727+329043+897151+920164+248386+258941</f>
        <v>6598905</v>
      </c>
      <c r="O47" s="70">
        <f>N47/N$65*100</f>
        <v>12.444517091719424</v>
      </c>
      <c r="P47" s="72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70">
        <f>P47/P$65*100</f>
        <v>86.78899025091063</v>
      </c>
      <c r="R47" s="73">
        <f>5560372+2661271+5266335+8854155+6574879+7021049+8130659+6596910+4497038+7352603+5519288+9857384</f>
        <v>77891943</v>
      </c>
      <c r="S47" s="74">
        <f>R47/R$65*100</f>
        <v>75.63961148945975</v>
      </c>
      <c r="T47" s="73">
        <f>48244255+1240416+1280479+1585014+5268233+1866803</f>
        <v>59485200</v>
      </c>
      <c r="U47" s="74">
        <f>T47/T$65*100</f>
        <v>46.95403379643157</v>
      </c>
      <c r="V47" s="73">
        <f>3871826+2910439+3272526+4752072+7660067+4131598+5229905+5218062+2790360+4579620+5084845+2430232</f>
        <v>51931552</v>
      </c>
      <c r="W47" s="74">
        <f>V47/V$65*100</f>
        <v>42.06639959254151</v>
      </c>
      <c r="X47" s="73">
        <f>3529488+3945778+1490355+4575993+1953916+1788322+4474323+2277511+1312873+2679496+2840268</f>
        <v>30868323</v>
      </c>
      <c r="Y47" s="74">
        <f>X47/X$65*100</f>
        <v>37.813761801659595</v>
      </c>
      <c r="Z47" s="73">
        <f>1986961+3469601+978071+1023814+4571385+3395685+2773567+865002</f>
        <v>19064086</v>
      </c>
      <c r="AA47" s="74">
        <f>Z47/Z$65*100</f>
        <v>21.950440257801734</v>
      </c>
      <c r="AB47" s="73">
        <f>4687581+977716+2471237+1145988+1742068+3860237+861342+2469105+935263</f>
        <v>19150537</v>
      </c>
      <c r="AC47" s="74">
        <f t="shared" si="42"/>
        <v>28.622342269012236</v>
      </c>
      <c r="AD47" s="73">
        <f>1701021+989013+899453+2751027+4957564+4226923+711084+1385367+509592</f>
        <v>18131044</v>
      </c>
      <c r="AE47" s="74">
        <f t="shared" si="43"/>
        <v>22.75743555496472</v>
      </c>
      <c r="AF47" s="79">
        <f>1069260.57+3680996+1899966+1513743+5417706+799633</f>
        <v>14381304.57</v>
      </c>
      <c r="AG47" s="78">
        <f t="shared" si="44"/>
        <v>12.937590055190979</v>
      </c>
      <c r="AH47" s="79">
        <v>19454691.025957905</v>
      </c>
      <c r="AI47" s="78">
        <f t="shared" si="45"/>
        <v>9.571407348211782</v>
      </c>
      <c r="AJ47" s="79">
        <v>754426.08</v>
      </c>
      <c r="AK47" s="78">
        <f t="shared" si="46"/>
        <v>0.3806598520338204</v>
      </c>
      <c r="AL47" s="79">
        <v>3928031.909882729</v>
      </c>
      <c r="AM47" s="78">
        <f t="shared" si="47"/>
        <v>2.3102634794842802</v>
      </c>
      <c r="AN47" s="79">
        <v>0</v>
      </c>
      <c r="AO47" s="78">
        <f t="shared" si="48"/>
        <v>0</v>
      </c>
      <c r="AP47" s="79">
        <v>1186145.9397068587</v>
      </c>
      <c r="AQ47" s="78">
        <f t="shared" si="49"/>
        <v>0.18104163476738175</v>
      </c>
      <c r="AR47" s="79">
        <v>1847187.83</v>
      </c>
      <c r="AS47" s="78">
        <f t="shared" si="50"/>
        <v>0.30965094528681414</v>
      </c>
      <c r="AT47" s="79">
        <v>974.2380995799999</v>
      </c>
      <c r="AU47" s="78">
        <f t="shared" si="51"/>
        <v>0.13557438533642618</v>
      </c>
      <c r="AV47" s="79">
        <v>5495.17347317</v>
      </c>
      <c r="AW47" s="78">
        <f t="shared" si="52"/>
        <v>0.7090336105571793</v>
      </c>
      <c r="AX47" s="90">
        <v>15482.651845149998</v>
      </c>
      <c r="AY47" s="78">
        <f>AX47/AX$65*100</f>
        <v>1.6094528157920927</v>
      </c>
      <c r="AZ47" s="90">
        <v>0</v>
      </c>
      <c r="BA47" s="78">
        <f>AZ47/AZ$65*100</f>
        <v>0</v>
      </c>
      <c r="BB47" s="58" t="s">
        <v>23</v>
      </c>
      <c r="BC47" s="58"/>
      <c r="BD47" s="58"/>
      <c r="BE47" s="88"/>
      <c r="BF47" s="5"/>
      <c r="BG47" s="21"/>
      <c r="BH47" s="5"/>
      <c r="BI47" s="5"/>
      <c r="BJ47" s="5"/>
    </row>
    <row r="48" spans="1:62" ht="19.5" customHeight="1">
      <c r="A48" s="46" t="s">
        <v>88</v>
      </c>
      <c r="B48" s="69">
        <v>0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70">
        <f>J48/J$65*100</f>
        <v>0</v>
      </c>
      <c r="L48" s="71">
        <v>0</v>
      </c>
      <c r="M48" s="70">
        <f>L48/L$65*100</f>
        <v>0</v>
      </c>
      <c r="N48" s="72">
        <v>0</v>
      </c>
      <c r="O48" s="70">
        <f>N48/N$65*100</f>
        <v>0</v>
      </c>
      <c r="P48" s="72">
        <v>0</v>
      </c>
      <c r="Q48" s="70">
        <f>P48/P$65*100</f>
        <v>0</v>
      </c>
      <c r="R48" s="73">
        <v>0</v>
      </c>
      <c r="S48" s="74">
        <f>R48/R$65*100</f>
        <v>0</v>
      </c>
      <c r="T48" s="73">
        <v>0</v>
      </c>
      <c r="U48" s="74">
        <f>T48/T$65*100</f>
        <v>0</v>
      </c>
      <c r="V48" s="73">
        <v>0</v>
      </c>
      <c r="W48" s="74">
        <f>V48/V$65*100</f>
        <v>0</v>
      </c>
      <c r="X48" s="73">
        <v>0</v>
      </c>
      <c r="Y48" s="74">
        <f>X48/X$65*100</f>
        <v>0</v>
      </c>
      <c r="Z48" s="75">
        <v>0</v>
      </c>
      <c r="AA48" s="74">
        <f>Z48/Z$65*100</f>
        <v>0</v>
      </c>
      <c r="AB48" s="75">
        <v>0</v>
      </c>
      <c r="AC48" s="74">
        <f t="shared" si="42"/>
        <v>0</v>
      </c>
      <c r="AD48" s="75">
        <v>0</v>
      </c>
      <c r="AE48" s="74">
        <f t="shared" si="43"/>
        <v>0</v>
      </c>
      <c r="AF48" s="79">
        <v>0</v>
      </c>
      <c r="AG48" s="78">
        <f t="shared" si="44"/>
        <v>0</v>
      </c>
      <c r="AH48" s="79">
        <v>0</v>
      </c>
      <c r="AI48" s="78">
        <f t="shared" si="45"/>
        <v>0</v>
      </c>
      <c r="AJ48" s="79">
        <v>0</v>
      </c>
      <c r="AK48" s="78">
        <f t="shared" si="46"/>
        <v>0</v>
      </c>
      <c r="AL48" s="79">
        <v>0</v>
      </c>
      <c r="AM48" s="78">
        <f t="shared" si="47"/>
        <v>0</v>
      </c>
      <c r="AN48" s="79">
        <v>0</v>
      </c>
      <c r="AO48" s="78">
        <f t="shared" si="48"/>
        <v>0</v>
      </c>
      <c r="AP48" s="79">
        <v>0</v>
      </c>
      <c r="AQ48" s="78">
        <f t="shared" si="49"/>
        <v>0</v>
      </c>
      <c r="AR48" s="79">
        <v>0</v>
      </c>
      <c r="AS48" s="78">
        <f t="shared" si="50"/>
        <v>0</v>
      </c>
      <c r="AT48" s="79">
        <v>0</v>
      </c>
      <c r="AU48" s="78">
        <f t="shared" si="51"/>
        <v>0</v>
      </c>
      <c r="AV48" s="79">
        <v>0</v>
      </c>
      <c r="AW48" s="78">
        <f t="shared" si="52"/>
        <v>0</v>
      </c>
      <c r="AX48" s="79">
        <v>0</v>
      </c>
      <c r="AY48" s="78">
        <f>AX48/AX$65*100</f>
        <v>0</v>
      </c>
      <c r="AZ48" s="79">
        <v>0</v>
      </c>
      <c r="BA48" s="78">
        <f>AZ48/AZ$65*100</f>
        <v>0</v>
      </c>
      <c r="BB48" s="58" t="s">
        <v>24</v>
      </c>
      <c r="BC48" s="58"/>
      <c r="BD48" s="58"/>
      <c r="BE48" s="88"/>
      <c r="BF48" s="5"/>
      <c r="BG48" s="5"/>
      <c r="BH48" s="5"/>
      <c r="BI48" s="5"/>
      <c r="BJ48" s="5"/>
    </row>
    <row r="49" spans="1:62" ht="19.5" customHeight="1">
      <c r="A49" s="46" t="s">
        <v>108</v>
      </c>
      <c r="B49" s="69"/>
      <c r="C49" s="69"/>
      <c r="D49" s="69"/>
      <c r="E49" s="69"/>
      <c r="F49" s="69"/>
      <c r="G49" s="69"/>
      <c r="H49" s="69"/>
      <c r="I49" s="69"/>
      <c r="J49" s="69"/>
      <c r="K49" s="70"/>
      <c r="L49" s="71"/>
      <c r="M49" s="70"/>
      <c r="N49" s="72"/>
      <c r="O49" s="70"/>
      <c r="P49" s="72"/>
      <c r="Q49" s="70"/>
      <c r="R49" s="73"/>
      <c r="S49" s="74"/>
      <c r="T49" s="73"/>
      <c r="U49" s="74"/>
      <c r="V49" s="73"/>
      <c r="W49" s="74"/>
      <c r="X49" s="73"/>
      <c r="Y49" s="74"/>
      <c r="Z49" s="75"/>
      <c r="AA49" s="74"/>
      <c r="AB49" s="75">
        <v>0</v>
      </c>
      <c r="AC49" s="74">
        <f t="shared" si="42"/>
        <v>0</v>
      </c>
      <c r="AD49" s="75">
        <v>0</v>
      </c>
      <c r="AE49" s="74">
        <f t="shared" si="43"/>
        <v>0</v>
      </c>
      <c r="AF49" s="79">
        <f>49012*1.5674+420687+737775</f>
        <v>1235283.4087999999</v>
      </c>
      <c r="AG49" s="78">
        <f t="shared" si="44"/>
        <v>1.111275424788065</v>
      </c>
      <c r="AH49" s="79">
        <f>944000+479500</f>
        <v>1423500</v>
      </c>
      <c r="AI49" s="78">
        <f t="shared" si="45"/>
        <v>0.7003400024189597</v>
      </c>
      <c r="AJ49" s="79">
        <v>854009</v>
      </c>
      <c r="AK49" s="78">
        <f t="shared" si="46"/>
        <v>0.43090628517978985</v>
      </c>
      <c r="AL49" s="79">
        <v>109200</v>
      </c>
      <c r="AM49" s="78">
        <f t="shared" si="47"/>
        <v>0.06422574402335118</v>
      </c>
      <c r="AN49" s="79">
        <v>0</v>
      </c>
      <c r="AO49" s="78">
        <f t="shared" si="48"/>
        <v>0</v>
      </c>
      <c r="AP49" s="79">
        <v>0</v>
      </c>
      <c r="AQ49" s="78">
        <f t="shared" si="49"/>
        <v>0</v>
      </c>
      <c r="AR49" s="79">
        <v>0</v>
      </c>
      <c r="AS49" s="78">
        <f t="shared" si="50"/>
        <v>0</v>
      </c>
      <c r="AT49" s="79">
        <v>0</v>
      </c>
      <c r="AU49" s="78">
        <f t="shared" si="51"/>
        <v>0</v>
      </c>
      <c r="AV49" s="79">
        <v>0</v>
      </c>
      <c r="AW49" s="78">
        <f t="shared" si="52"/>
        <v>0</v>
      </c>
      <c r="AX49" s="79">
        <v>0</v>
      </c>
      <c r="AY49" s="78">
        <f>AX49/AX$65*100</f>
        <v>0</v>
      </c>
      <c r="AZ49" s="79">
        <f>AY49/AY$65*100</f>
        <v>0</v>
      </c>
      <c r="BA49" s="78">
        <f>AZ49/AZ$65*100</f>
        <v>0</v>
      </c>
      <c r="BB49" s="58" t="s">
        <v>109</v>
      </c>
      <c r="BC49" s="58"/>
      <c r="BD49" s="58"/>
      <c r="BE49" s="88"/>
      <c r="BF49" s="5"/>
      <c r="BG49" s="5"/>
      <c r="BH49" s="5"/>
      <c r="BI49" s="5"/>
      <c r="BJ49" s="5"/>
    </row>
    <row r="50" spans="1:62" ht="19.5" customHeight="1">
      <c r="A50" s="46" t="s">
        <v>89</v>
      </c>
      <c r="B50" s="69">
        <v>5356</v>
      </c>
      <c r="C50" s="70">
        <f>B50/B$65*100</f>
        <v>1.3023454862884125</v>
      </c>
      <c r="D50" s="69">
        <v>0</v>
      </c>
      <c r="E50" s="70">
        <f>D50/D$65*100</f>
        <v>0</v>
      </c>
      <c r="F50" s="69">
        <f>((1142*88670.67)/1000)+((890*98176.27)/1000)+127508+6.8</f>
        <v>316153.58544</v>
      </c>
      <c r="G50" s="70">
        <f>F50/F$65*100</f>
        <v>5.8031003429487935</v>
      </c>
      <c r="H50" s="69">
        <v>0</v>
      </c>
      <c r="I50" s="70">
        <f>H50/H$65*100</f>
        <v>0</v>
      </c>
      <c r="J50" s="70">
        <v>0</v>
      </c>
      <c r="K50" s="70">
        <f>J50/J$65*100</f>
        <v>0</v>
      </c>
      <c r="L50" s="71">
        <v>0</v>
      </c>
      <c r="M50" s="70">
        <f>L50/L$65*100</f>
        <v>0</v>
      </c>
      <c r="N50" s="72">
        <v>0</v>
      </c>
      <c r="O50" s="70">
        <f>N50/N$65*100</f>
        <v>0</v>
      </c>
      <c r="P50" s="72">
        <v>0</v>
      </c>
      <c r="Q50" s="70">
        <f>P50/P$65*100</f>
        <v>0</v>
      </c>
      <c r="R50" s="73">
        <f>1203583+1119383+550912+1481745+831070+2725456+545290+1707456+620528+1058658</f>
        <v>11844081</v>
      </c>
      <c r="S50" s="74">
        <f>R50/R$65*100</f>
        <v>11.50159632414988</v>
      </c>
      <c r="T50" s="73">
        <f>1320599+320344+1410990+1929094+1281381+306919+1348*1474+1548.07*316+1451.947*284+452*1434.993+1421.362*930</f>
        <v>11428305.564</v>
      </c>
      <c r="U50" s="74">
        <f>T50/T$65*100</f>
        <v>9.020816029667932</v>
      </c>
      <c r="V50" s="73">
        <f>737*1332.271+517*1313.237+890*1452.393+520*1489.162+1178*1426.013</f>
        <v>5407664.58</v>
      </c>
      <c r="W50" s="74">
        <f>V50/V$65*100</f>
        <v>4.380400167603563</v>
      </c>
      <c r="X50" s="73">
        <f>305*1292.7+915*1355+1358.3*936+1331.5*218+884*1326.2+984*1334+226*1621.7+252*1356+305*1621.8</f>
        <v>6883616.3</v>
      </c>
      <c r="Y50" s="74">
        <f>X50/X$65*100</f>
        <v>8.432444713702827</v>
      </c>
      <c r="Z50" s="73">
        <f>395*1318.1+521*1.4597</f>
        <v>521410.00369999994</v>
      </c>
      <c r="AA50" s="74">
        <f>Z50/Z$65*100</f>
        <v>0.6003528905627592</v>
      </c>
      <c r="AB50" s="73">
        <f>695*1404.1+593*1.3932+310*1.1862</f>
        <v>977043.3895999999</v>
      </c>
      <c r="AC50" s="74">
        <f t="shared" si="42"/>
        <v>1.4602864822436608</v>
      </c>
      <c r="AD50" s="73">
        <f>240000*1.2425+500000*1.5941</f>
        <v>1095250</v>
      </c>
      <c r="AE50" s="74">
        <f t="shared" si="43"/>
        <v>1.3747184823761451</v>
      </c>
      <c r="AF50" s="79">
        <v>0</v>
      </c>
      <c r="AG50" s="78">
        <f t="shared" si="44"/>
        <v>0</v>
      </c>
      <c r="AH50" s="79">
        <v>2784446</v>
      </c>
      <c r="AI50" s="78">
        <f t="shared" si="45"/>
        <v>1.3699044034952317</v>
      </c>
      <c r="AJ50" s="79">
        <v>0</v>
      </c>
      <c r="AK50" s="78">
        <f t="shared" si="46"/>
        <v>0</v>
      </c>
      <c r="AL50" s="79">
        <v>0</v>
      </c>
      <c r="AM50" s="78">
        <f t="shared" si="47"/>
        <v>0</v>
      </c>
      <c r="AN50" s="79">
        <v>0</v>
      </c>
      <c r="AO50" s="78">
        <f t="shared" si="48"/>
        <v>0</v>
      </c>
      <c r="AP50" s="79">
        <v>0</v>
      </c>
      <c r="AQ50" s="78">
        <f t="shared" si="49"/>
        <v>0</v>
      </c>
      <c r="AR50" s="79">
        <v>0</v>
      </c>
      <c r="AS50" s="78">
        <f t="shared" si="50"/>
        <v>0</v>
      </c>
      <c r="AT50" s="79">
        <v>0</v>
      </c>
      <c r="AU50" s="78">
        <f t="shared" si="51"/>
        <v>0</v>
      </c>
      <c r="AV50" s="79">
        <v>0</v>
      </c>
      <c r="AW50" s="78">
        <f t="shared" si="52"/>
        <v>0</v>
      </c>
      <c r="AX50" s="79">
        <v>0</v>
      </c>
      <c r="AY50" s="78">
        <f>AX50/AX$65*100</f>
        <v>0</v>
      </c>
      <c r="AZ50" s="79">
        <v>0</v>
      </c>
      <c r="BA50" s="78">
        <f>AZ50/AZ$65*100</f>
        <v>0</v>
      </c>
      <c r="BB50" s="58" t="s">
        <v>110</v>
      </c>
      <c r="BC50" s="58"/>
      <c r="BD50" s="58"/>
      <c r="BE50" s="88"/>
      <c r="BF50" s="5"/>
      <c r="BG50" s="5"/>
      <c r="BH50" s="5"/>
      <c r="BI50" s="5"/>
      <c r="BJ50" s="5"/>
    </row>
    <row r="51" spans="1:62" ht="19.5" customHeight="1">
      <c r="A51" s="13"/>
      <c r="B51" s="76"/>
      <c r="C51" s="77"/>
      <c r="D51" s="76"/>
      <c r="E51" s="77"/>
      <c r="F51" s="76"/>
      <c r="G51" s="77"/>
      <c r="H51" s="76"/>
      <c r="I51" s="77"/>
      <c r="J51" s="77"/>
      <c r="K51" s="77"/>
      <c r="L51" s="77"/>
      <c r="M51" s="77"/>
      <c r="N51" s="43"/>
      <c r="O51" s="77"/>
      <c r="P51" s="43"/>
      <c r="Q51" s="77"/>
      <c r="R51" s="44"/>
      <c r="S51" s="78"/>
      <c r="T51" s="44"/>
      <c r="U51" s="78"/>
      <c r="V51" s="44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58"/>
      <c r="BC51" s="58"/>
      <c r="BD51" s="58"/>
      <c r="BE51" s="88"/>
      <c r="BF51" s="5"/>
      <c r="BG51" s="5"/>
      <c r="BH51" s="5"/>
      <c r="BI51" s="5"/>
      <c r="BJ51" s="5"/>
    </row>
    <row r="52" spans="1:62" ht="19.5" customHeight="1">
      <c r="A52" s="13" t="s">
        <v>14</v>
      </c>
      <c r="B52" s="76">
        <f>SUM(B53:B61)</f>
        <v>76660.9</v>
      </c>
      <c r="C52" s="77">
        <f aca="true" t="shared" si="53" ref="C52:C58">B52/B$65*100</f>
        <v>18.640585715049916</v>
      </c>
      <c r="D52" s="76">
        <f>SUM(D53:D61)</f>
        <v>165964.55</v>
      </c>
      <c r="E52" s="77">
        <f aca="true" t="shared" si="54" ref="E52:E58">D52/D$65*100</f>
        <v>9.650656790424106</v>
      </c>
      <c r="F52" s="76">
        <f>SUM(F53:F62)</f>
        <v>161961.111</v>
      </c>
      <c r="G52" s="77">
        <f aca="true" t="shared" si="55" ref="G52:G58">F52/F$65*100</f>
        <v>2.972848077874602</v>
      </c>
      <c r="H52" s="76">
        <f>SUM(H53:H62)</f>
        <v>378449.3</v>
      </c>
      <c r="I52" s="77">
        <f aca="true" t="shared" si="56" ref="I52:I59">H52/H$65*100</f>
        <v>5.316153101727872</v>
      </c>
      <c r="J52" s="76">
        <f>SUM(J53:J62)</f>
        <v>841777.9000000001</v>
      </c>
      <c r="K52" s="77">
        <f aca="true" t="shared" si="57" ref="K52:K59">J52/J$65*100</f>
        <v>5.078138943399278</v>
      </c>
      <c r="L52" s="76">
        <f>SUM(L53:L62)</f>
        <v>855541.7</v>
      </c>
      <c r="M52" s="77">
        <f aca="true" t="shared" si="58" ref="M52:M59">L52/L$65*100</f>
        <v>2.7497276464040725</v>
      </c>
      <c r="N52" s="43">
        <f>SUM(N53:N62)</f>
        <v>5792295.623699999</v>
      </c>
      <c r="O52" s="77">
        <f aca="true" t="shared" si="59" ref="O52:O59">N52/N$65*100</f>
        <v>10.923376210057011</v>
      </c>
      <c r="P52" s="43">
        <f>SUM(P53:P62)</f>
        <v>5730393.7157</v>
      </c>
      <c r="Q52" s="77">
        <f aca="true" t="shared" si="60" ref="Q52:Q59">P52/P$65*100</f>
        <v>12.25083476974112</v>
      </c>
      <c r="R52" s="44">
        <f>SUM(R53:R62)</f>
        <v>4109703.2772</v>
      </c>
      <c r="S52" s="78">
        <f aca="true" t="shared" si="61" ref="S52:S59">R52/R$65*100</f>
        <v>3.9908666705665246</v>
      </c>
      <c r="T52" s="79">
        <f>SUM(T53:T62)</f>
        <v>7881726.3213</v>
      </c>
      <c r="U52" s="78">
        <f aca="true" t="shared" si="62" ref="U52:U59">T52/T$65*100</f>
        <v>6.221360003236845</v>
      </c>
      <c r="V52" s="79">
        <f>SUM(V53:V62)</f>
        <v>10696891.241</v>
      </c>
      <c r="W52" s="78">
        <f aca="true" t="shared" si="63" ref="W52:W59">V52/V$65*100</f>
        <v>8.664861418774144</v>
      </c>
      <c r="X52" s="79">
        <f>SUM(X53:X62)</f>
        <v>7384712.00646</v>
      </c>
      <c r="Y52" s="78">
        <f aca="true" t="shared" si="64" ref="Y52:Y62">X52/X$65*100</f>
        <v>9.046288027572283</v>
      </c>
      <c r="Z52" s="79">
        <f>SUM(Z53:Z62)</f>
        <v>20304112.026</v>
      </c>
      <c r="AA52" s="78">
        <f aca="true" t="shared" si="65" ref="AA52:AA62">Z52/Z$65*100</f>
        <v>23.378209582899842</v>
      </c>
      <c r="AB52" s="79">
        <f>SUM(AB53:AB62)</f>
        <v>10542283.052795</v>
      </c>
      <c r="AC52" s="78">
        <f aca="true" t="shared" si="66" ref="AC52:AC63">AB52/AB$65*100</f>
        <v>15.756468543618682</v>
      </c>
      <c r="AD52" s="79">
        <f>SUM(AD53:AD62)</f>
        <v>27349685.27304</v>
      </c>
      <c r="AE52" s="78">
        <f aca="true" t="shared" si="67" ref="AE52:AE63">AD52/AD$65*100</f>
        <v>34.328343147243785</v>
      </c>
      <c r="AF52" s="79">
        <f>SUM(AF53:AF63)</f>
        <v>42348587.83248</v>
      </c>
      <c r="AG52" s="78">
        <f aca="true" t="shared" si="68" ref="AG52:AG63">AF52/AF$65*100</f>
        <v>38.09728568963023</v>
      </c>
      <c r="AH52" s="79">
        <f>SUM(AH53:AH63)</f>
        <v>41070460.980000004</v>
      </c>
      <c r="AI52" s="78">
        <f aca="true" t="shared" si="69" ref="AI52:AI63">AH52/AH$65*100</f>
        <v>20.206032133530726</v>
      </c>
      <c r="AJ52" s="79">
        <f>SUM(AJ53:AJ63)</f>
        <v>89824060.757</v>
      </c>
      <c r="AK52" s="78">
        <f aca="true" t="shared" si="70" ref="AK52:AK63">AJ52/AJ$65*100</f>
        <v>45.32241737565133</v>
      </c>
      <c r="AL52" s="79">
        <f>SUM(AL53:AL63)</f>
        <v>87917404.318</v>
      </c>
      <c r="AM52" s="78">
        <f aca="true" t="shared" si="71" ref="AM52:AM63">AL52/AL$65*100</f>
        <v>51.708431363785145</v>
      </c>
      <c r="AN52" s="79">
        <f>SUM(AN53:AN63)</f>
        <v>142702284.36902002</v>
      </c>
      <c r="AO52" s="78">
        <f aca="true" t="shared" si="72" ref="AO52:AO63">AN52/AN$65*100</f>
        <v>26.149875143371766</v>
      </c>
      <c r="AP52" s="79">
        <f>SUM(AP53:AP63)</f>
        <v>239343872.26762998</v>
      </c>
      <c r="AQ52" s="78">
        <f aca="true" t="shared" si="73" ref="AQ52:AQ63">AP52/AP$65*100</f>
        <v>36.531091543082724</v>
      </c>
      <c r="AR52" s="79">
        <f>SUM(AR53:AR63)</f>
        <v>154567546.546878</v>
      </c>
      <c r="AS52" s="78">
        <f aca="true" t="shared" si="74" ref="AS52:AS63">AR52/AR$65*100</f>
        <v>25.910730961725974</v>
      </c>
      <c r="AT52" s="79">
        <f>SUM(AT53:AT63)</f>
        <v>183152.799927284</v>
      </c>
      <c r="AU52" s="78">
        <f aca="true" t="shared" si="75" ref="AU52:AU63">AT52/AT$65*100</f>
        <v>25.48743298326322</v>
      </c>
      <c r="AV52" s="79">
        <f>SUM(AV53:AV63)</f>
        <v>188881.06621994302</v>
      </c>
      <c r="AW52" s="78">
        <f aca="true" t="shared" si="76" ref="AW52:AW63">AV52/AV$65*100</f>
        <v>24.3710275938859</v>
      </c>
      <c r="AX52" s="90">
        <v>206930.49614811302</v>
      </c>
      <c r="AY52" s="78">
        <f aca="true" t="shared" si="77" ref="AY52:AY63">AX52/AX$65*100</f>
        <v>21.510841490836917</v>
      </c>
      <c r="AZ52" s="90">
        <v>226583.166115829</v>
      </c>
      <c r="BA52" s="78">
        <f>AZ52/AZ$65*100</f>
        <v>8.80319781970458</v>
      </c>
      <c r="BB52" s="58" t="s">
        <v>25</v>
      </c>
      <c r="BC52" s="58"/>
      <c r="BD52" s="58"/>
      <c r="BE52" s="88"/>
      <c r="BF52" s="5"/>
      <c r="BG52" s="5"/>
      <c r="BH52" s="5"/>
      <c r="BI52" s="5"/>
      <c r="BJ52" s="5"/>
    </row>
    <row r="53" spans="1:62" ht="19.5" customHeight="1">
      <c r="A53" s="46" t="s">
        <v>15</v>
      </c>
      <c r="B53" s="76">
        <v>9573</v>
      </c>
      <c r="C53" s="77">
        <f t="shared" si="53"/>
        <v>2.327735873831026</v>
      </c>
      <c r="D53" s="76">
        <v>42771</v>
      </c>
      <c r="E53" s="77">
        <f t="shared" si="54"/>
        <v>2.487086800061998</v>
      </c>
      <c r="F53" s="76">
        <v>102202.4</v>
      </c>
      <c r="G53" s="77">
        <f t="shared" si="55"/>
        <v>1.8759577933135516</v>
      </c>
      <c r="H53" s="76">
        <v>305732.1</v>
      </c>
      <c r="I53" s="77">
        <f t="shared" si="56"/>
        <v>4.294680031678684</v>
      </c>
      <c r="J53" s="76">
        <v>696821.8</v>
      </c>
      <c r="K53" s="77">
        <f t="shared" si="57"/>
        <v>4.203671680130332</v>
      </c>
      <c r="L53" s="37">
        <v>678870.7</v>
      </c>
      <c r="M53" s="77">
        <f t="shared" si="58"/>
        <v>2.181903619804488</v>
      </c>
      <c r="N53" s="43">
        <f>4593.5+255658.6+344401.9+199946.1+187773.7+1491699.8+136928.424+73075.3771+68277.4916+200699.184+22607.051+22312.931</f>
        <v>3007974.0587</v>
      </c>
      <c r="O53" s="77">
        <f t="shared" si="59"/>
        <v>5.6725751598092105</v>
      </c>
      <c r="P53" s="43">
        <v>1684497.761</v>
      </c>
      <c r="Q53" s="37">
        <f t="shared" si="60"/>
        <v>3.601236627680652</v>
      </c>
      <c r="R53" s="43">
        <v>1597316.8262</v>
      </c>
      <c r="S53" s="37">
        <f t="shared" si="61"/>
        <v>1.551128647019948</v>
      </c>
      <c r="T53" s="79">
        <v>1749596.6213</v>
      </c>
      <c r="U53" s="78">
        <f t="shared" si="62"/>
        <v>1.3810261861209623</v>
      </c>
      <c r="V53" s="79">
        <v>3826540.24</v>
      </c>
      <c r="W53" s="78">
        <f t="shared" si="63"/>
        <v>3.099633355705982</v>
      </c>
      <c r="X53" s="79">
        <v>3991869.65086</v>
      </c>
      <c r="Y53" s="78">
        <f t="shared" si="64"/>
        <v>4.890048873756248</v>
      </c>
      <c r="Z53" s="79">
        <v>10880574.354</v>
      </c>
      <c r="AA53" s="78">
        <f t="shared" si="65"/>
        <v>12.527922782558088</v>
      </c>
      <c r="AB53" s="79">
        <v>7863767.891795</v>
      </c>
      <c r="AC53" s="78">
        <f t="shared" si="66"/>
        <v>11.753166823626161</v>
      </c>
      <c r="AD53" s="79">
        <v>11696189.96758</v>
      </c>
      <c r="AE53" s="78">
        <f t="shared" si="67"/>
        <v>14.680637773854983</v>
      </c>
      <c r="AF53" s="79">
        <v>4453087.832479999</v>
      </c>
      <c r="AG53" s="78">
        <f t="shared" si="68"/>
        <v>4.006049978008718</v>
      </c>
      <c r="AH53" s="79">
        <v>11409612.98</v>
      </c>
      <c r="AI53" s="78">
        <f t="shared" si="69"/>
        <v>5.613353271522721</v>
      </c>
      <c r="AJ53" s="79">
        <v>7941474.800000001</v>
      </c>
      <c r="AK53" s="78">
        <f t="shared" si="70"/>
        <v>4.0070203064802765</v>
      </c>
      <c r="AL53" s="79">
        <v>8080610.166</v>
      </c>
      <c r="AM53" s="78">
        <f t="shared" si="71"/>
        <v>4.75259340727111</v>
      </c>
      <c r="AN53" s="79">
        <v>103829087.89402</v>
      </c>
      <c r="AO53" s="81">
        <f t="shared" si="72"/>
        <v>19.02644864224917</v>
      </c>
      <c r="AP53" s="79">
        <v>105277559.024815</v>
      </c>
      <c r="AQ53" s="81">
        <f t="shared" si="73"/>
        <v>16.068529809141683</v>
      </c>
      <c r="AR53" s="79">
        <v>105172197.449878</v>
      </c>
      <c r="AS53" s="81">
        <f t="shared" si="74"/>
        <v>17.63040543540512</v>
      </c>
      <c r="AT53" s="79">
        <v>117355.099838284</v>
      </c>
      <c r="AU53" s="81">
        <f t="shared" si="75"/>
        <v>16.33106479158363</v>
      </c>
      <c r="AV53" s="79">
        <v>127636.139910943</v>
      </c>
      <c r="AW53" s="81">
        <f t="shared" si="76"/>
        <v>16.468690853981624</v>
      </c>
      <c r="AX53" s="90">
        <v>130015.806148113</v>
      </c>
      <c r="AY53" s="81">
        <f t="shared" si="77"/>
        <v>13.515404686188115</v>
      </c>
      <c r="AZ53" s="90">
        <v>140159.647316829</v>
      </c>
      <c r="BA53" s="81">
        <f>AZ53/AZ$65*100</f>
        <v>5.445475596538041</v>
      </c>
      <c r="BB53" s="58" t="s">
        <v>26</v>
      </c>
      <c r="BC53" s="58"/>
      <c r="BD53" s="58"/>
      <c r="BE53" s="88"/>
      <c r="BF53" s="5"/>
      <c r="BG53" s="5"/>
      <c r="BH53" s="5"/>
      <c r="BI53" s="5"/>
      <c r="BJ53" s="5"/>
    </row>
    <row r="54" spans="1:62" ht="19.5" customHeight="1">
      <c r="A54" s="46" t="s">
        <v>16</v>
      </c>
      <c r="B54" s="76">
        <v>785.3</v>
      </c>
      <c r="C54" s="77">
        <f t="shared" si="53"/>
        <v>0.1909506927524814</v>
      </c>
      <c r="D54" s="76">
        <f>693.1-250+250+1190</f>
        <v>1883.1</v>
      </c>
      <c r="E54" s="77">
        <f t="shared" si="54"/>
        <v>0.10950020231457643</v>
      </c>
      <c r="F54" s="76">
        <v>1228.964</v>
      </c>
      <c r="G54" s="77">
        <f t="shared" si="55"/>
        <v>0.022558027927933155</v>
      </c>
      <c r="H54" s="76">
        <v>1495.5</v>
      </c>
      <c r="I54" s="77">
        <f t="shared" si="56"/>
        <v>0.021007587974489667</v>
      </c>
      <c r="J54" s="77">
        <v>2532.8</v>
      </c>
      <c r="K54" s="77">
        <f t="shared" si="57"/>
        <v>0.015279458293977177</v>
      </c>
      <c r="L54" s="37">
        <v>0</v>
      </c>
      <c r="M54" s="77">
        <f t="shared" si="58"/>
        <v>0</v>
      </c>
      <c r="N54" s="43">
        <v>0</v>
      </c>
      <c r="O54" s="77">
        <f t="shared" si="59"/>
        <v>0</v>
      </c>
      <c r="P54" s="43">
        <v>0</v>
      </c>
      <c r="Q54" s="37">
        <f t="shared" si="60"/>
        <v>0</v>
      </c>
      <c r="R54" s="43">
        <v>0</v>
      </c>
      <c r="S54" s="37">
        <f t="shared" si="61"/>
        <v>0</v>
      </c>
      <c r="T54" s="79">
        <v>0</v>
      </c>
      <c r="U54" s="78">
        <f t="shared" si="62"/>
        <v>0</v>
      </c>
      <c r="V54" s="79">
        <v>0</v>
      </c>
      <c r="W54" s="78">
        <f t="shared" si="63"/>
        <v>0</v>
      </c>
      <c r="X54" s="79">
        <v>0</v>
      </c>
      <c r="Y54" s="78">
        <f t="shared" si="64"/>
        <v>0</v>
      </c>
      <c r="Z54" s="79">
        <v>150000</v>
      </c>
      <c r="AA54" s="78">
        <f t="shared" si="65"/>
        <v>0.172710406293292</v>
      </c>
      <c r="AB54" s="79">
        <v>150210</v>
      </c>
      <c r="AC54" s="78">
        <f t="shared" si="66"/>
        <v>0.22450347122006697</v>
      </c>
      <c r="AD54" s="79">
        <v>200000</v>
      </c>
      <c r="AE54" s="78">
        <f t="shared" si="67"/>
        <v>0.25103282033803154</v>
      </c>
      <c r="AF54" s="79">
        <v>140400</v>
      </c>
      <c r="AG54" s="78">
        <f t="shared" si="68"/>
        <v>0.1263054846594361</v>
      </c>
      <c r="AH54" s="79">
        <v>2532840</v>
      </c>
      <c r="AI54" s="78">
        <f t="shared" si="69"/>
        <v>1.246118139604382</v>
      </c>
      <c r="AJ54" s="79">
        <v>5122750.5</v>
      </c>
      <c r="AK54" s="78">
        <f t="shared" si="70"/>
        <v>2.5847800056649417</v>
      </c>
      <c r="AL54" s="79">
        <v>20980406.712</v>
      </c>
      <c r="AM54" s="78">
        <f t="shared" si="71"/>
        <v>12.339580869878306</v>
      </c>
      <c r="AN54" s="79">
        <v>14419795.554</v>
      </c>
      <c r="AO54" s="81">
        <f t="shared" si="72"/>
        <v>2.6423953547579555</v>
      </c>
      <c r="AP54" s="79">
        <v>105277559.024815</v>
      </c>
      <c r="AQ54" s="81">
        <f t="shared" si="73"/>
        <v>16.068529809141683</v>
      </c>
      <c r="AR54" s="79">
        <v>19677731.543</v>
      </c>
      <c r="AS54" s="81">
        <f t="shared" si="74"/>
        <v>3.298651103277413</v>
      </c>
      <c r="AT54" s="79">
        <v>19178.521335</v>
      </c>
      <c r="AU54" s="81">
        <f t="shared" si="75"/>
        <v>2.668871441976132</v>
      </c>
      <c r="AV54" s="79">
        <v>16857.035606</v>
      </c>
      <c r="AW54" s="81">
        <f t="shared" si="76"/>
        <v>2.1750368532257167</v>
      </c>
      <c r="AX54" s="90">
        <v>18020.16</v>
      </c>
      <c r="AY54" s="81">
        <f t="shared" si="77"/>
        <v>1.8732318948390756</v>
      </c>
      <c r="AZ54" s="90">
        <v>23278.901563</v>
      </c>
      <c r="BA54" s="81">
        <f>AZ54/AZ$65*100</f>
        <v>0.9044307174159611</v>
      </c>
      <c r="BB54" s="58" t="s">
        <v>27</v>
      </c>
      <c r="BC54" s="58"/>
      <c r="BD54" s="58"/>
      <c r="BE54" s="88"/>
      <c r="BF54" s="5"/>
      <c r="BG54" s="5"/>
      <c r="BH54" s="5"/>
      <c r="BI54" s="5"/>
      <c r="BJ54" s="5"/>
    </row>
    <row r="55" spans="1:62" ht="19.5" customHeight="1">
      <c r="A55" s="46" t="s">
        <v>8</v>
      </c>
      <c r="B55" s="76">
        <v>2387.5</v>
      </c>
      <c r="C55" s="77">
        <f t="shared" si="53"/>
        <v>0.5805358193640002</v>
      </c>
      <c r="D55" s="76">
        <f>150+1000+150</f>
        <v>1300</v>
      </c>
      <c r="E55" s="77">
        <f t="shared" si="54"/>
        <v>0.0755935760230202</v>
      </c>
      <c r="F55" s="76">
        <f>1332.105+1030.352</f>
        <v>2362.4570000000003</v>
      </c>
      <c r="G55" s="77">
        <f t="shared" si="55"/>
        <v>0.043363655066007784</v>
      </c>
      <c r="H55" s="76">
        <v>9934.5</v>
      </c>
      <c r="I55" s="77">
        <f t="shared" si="56"/>
        <v>0.13955191088770819</v>
      </c>
      <c r="J55" s="77">
        <v>0</v>
      </c>
      <c r="K55" s="77">
        <f t="shared" si="57"/>
        <v>0</v>
      </c>
      <c r="L55" s="37">
        <v>0</v>
      </c>
      <c r="M55" s="77">
        <f t="shared" si="58"/>
        <v>0</v>
      </c>
      <c r="N55" s="43">
        <v>12471</v>
      </c>
      <c r="O55" s="77">
        <f t="shared" si="59"/>
        <v>0.02351838261815149</v>
      </c>
      <c r="P55" s="43">
        <v>147696.7266</v>
      </c>
      <c r="Q55" s="37">
        <f t="shared" si="60"/>
        <v>0.31575634823325555</v>
      </c>
      <c r="R55" s="43">
        <v>0</v>
      </c>
      <c r="S55" s="37">
        <f t="shared" si="61"/>
        <v>0</v>
      </c>
      <c r="T55" s="79">
        <v>0</v>
      </c>
      <c r="U55" s="78">
        <f t="shared" si="62"/>
        <v>0</v>
      </c>
      <c r="V55" s="79">
        <v>0</v>
      </c>
      <c r="W55" s="78">
        <f t="shared" si="63"/>
        <v>0</v>
      </c>
      <c r="X55" s="79">
        <v>0</v>
      </c>
      <c r="Y55" s="78">
        <f t="shared" si="64"/>
        <v>0</v>
      </c>
      <c r="Z55" s="79">
        <v>0</v>
      </c>
      <c r="AA55" s="78">
        <f t="shared" si="65"/>
        <v>0</v>
      </c>
      <c r="AB55" s="79">
        <v>0</v>
      </c>
      <c r="AC55" s="78">
        <f t="shared" si="66"/>
        <v>0</v>
      </c>
      <c r="AD55" s="79">
        <f>AD97+AD98+AD99</f>
        <v>0</v>
      </c>
      <c r="AE55" s="78">
        <f t="shared" si="67"/>
        <v>0</v>
      </c>
      <c r="AF55" s="79">
        <v>100000</v>
      </c>
      <c r="AG55" s="78">
        <f t="shared" si="68"/>
        <v>0.08996117140985477</v>
      </c>
      <c r="AH55" s="79">
        <v>1100000</v>
      </c>
      <c r="AI55" s="78">
        <f t="shared" si="69"/>
        <v>0.5411830015179877</v>
      </c>
      <c r="AJ55" s="79">
        <v>1860772.7</v>
      </c>
      <c r="AK55" s="78">
        <f t="shared" si="70"/>
        <v>0.938887824040458</v>
      </c>
      <c r="AL55" s="79">
        <v>4006345.4</v>
      </c>
      <c r="AM55" s="78">
        <f t="shared" si="71"/>
        <v>2.3563233894645648</v>
      </c>
      <c r="AN55" s="79">
        <v>22159773.374</v>
      </c>
      <c r="AO55" s="81">
        <f t="shared" si="72"/>
        <v>4.060729017042389</v>
      </c>
      <c r="AP55" s="79">
        <v>26279383.879</v>
      </c>
      <c r="AQ55" s="81">
        <f t="shared" si="73"/>
        <v>4.011026349177181</v>
      </c>
      <c r="AR55" s="79">
        <v>27549240.075000003</v>
      </c>
      <c r="AS55" s="81">
        <f t="shared" si="74"/>
        <v>4.6181812659285075</v>
      </c>
      <c r="AT55" s="79">
        <v>44345.03408</v>
      </c>
      <c r="AU55" s="81">
        <f t="shared" si="75"/>
        <v>6.171028150829558</v>
      </c>
      <c r="AV55" s="79">
        <v>38992.374504</v>
      </c>
      <c r="AW55" s="81">
        <f t="shared" si="76"/>
        <v>5.031124897831506</v>
      </c>
      <c r="AX55" s="90">
        <v>52900.33</v>
      </c>
      <c r="AY55" s="81">
        <f t="shared" si="77"/>
        <v>5.4990957573912995</v>
      </c>
      <c r="AZ55" s="90">
        <v>55068.482144</v>
      </c>
      <c r="BA55" s="81">
        <f aca="true" t="shared" si="78" ref="BA55:BA63">AZ55/AZ$65*100</f>
        <v>2.1395179097139247</v>
      </c>
      <c r="BB55" s="58" t="s">
        <v>28</v>
      </c>
      <c r="BC55" s="58"/>
      <c r="BD55" s="58"/>
      <c r="BE55" s="88"/>
      <c r="BF55" s="5"/>
      <c r="BG55" s="5"/>
      <c r="BH55" s="5"/>
      <c r="BI55" s="5"/>
      <c r="BJ55" s="5"/>
    </row>
    <row r="56" spans="1:62" ht="19.5" customHeight="1">
      <c r="A56" s="46" t="s">
        <v>20</v>
      </c>
      <c r="B56" s="76">
        <v>1197.7</v>
      </c>
      <c r="C56" s="77">
        <f t="shared" si="53"/>
        <v>0.29122837732031964</v>
      </c>
      <c r="D56" s="76">
        <v>1533</v>
      </c>
      <c r="E56" s="77">
        <f t="shared" si="54"/>
        <v>0.08914227080253076</v>
      </c>
      <c r="F56" s="76">
        <v>2880</v>
      </c>
      <c r="G56" s="77">
        <f t="shared" si="55"/>
        <v>0.05286332262983089</v>
      </c>
      <c r="H56" s="76">
        <v>2200</v>
      </c>
      <c r="I56" s="77">
        <f t="shared" si="56"/>
        <v>0.030903840550904223</v>
      </c>
      <c r="J56" s="77">
        <v>0</v>
      </c>
      <c r="K56" s="77">
        <f t="shared" si="57"/>
        <v>0</v>
      </c>
      <c r="L56" s="37">
        <v>0</v>
      </c>
      <c r="M56" s="77">
        <f t="shared" si="58"/>
        <v>0</v>
      </c>
      <c r="N56" s="43">
        <v>0</v>
      </c>
      <c r="O56" s="77">
        <f t="shared" si="59"/>
        <v>0</v>
      </c>
      <c r="P56" s="43">
        <v>0</v>
      </c>
      <c r="Q56" s="37">
        <f t="shared" si="60"/>
        <v>0</v>
      </c>
      <c r="R56" s="43">
        <v>0</v>
      </c>
      <c r="S56" s="37">
        <f t="shared" si="61"/>
        <v>0</v>
      </c>
      <c r="T56" s="79">
        <v>0</v>
      </c>
      <c r="U56" s="78">
        <f t="shared" si="62"/>
        <v>0</v>
      </c>
      <c r="V56" s="79">
        <v>0</v>
      </c>
      <c r="W56" s="78">
        <f t="shared" si="63"/>
        <v>0</v>
      </c>
      <c r="X56" s="79">
        <v>13000</v>
      </c>
      <c r="Y56" s="78">
        <f t="shared" si="64"/>
        <v>0.015925027848826604</v>
      </c>
      <c r="Z56" s="79">
        <v>0</v>
      </c>
      <c r="AA56" s="78">
        <f t="shared" si="65"/>
        <v>0</v>
      </c>
      <c r="AB56" s="79">
        <v>230000</v>
      </c>
      <c r="AC56" s="78">
        <f t="shared" si="66"/>
        <v>0.3437573955170455</v>
      </c>
      <c r="AD56" s="79">
        <v>50000</v>
      </c>
      <c r="AE56" s="78">
        <f t="shared" si="67"/>
        <v>0.06275820508450788</v>
      </c>
      <c r="AF56" s="79">
        <v>50000</v>
      </c>
      <c r="AG56" s="78">
        <f t="shared" si="68"/>
        <v>0.044980585704927384</v>
      </c>
      <c r="AH56" s="79">
        <v>105000</v>
      </c>
      <c r="AI56" s="78">
        <f t="shared" si="69"/>
        <v>0.0516583774176261</v>
      </c>
      <c r="AJ56" s="79">
        <v>0</v>
      </c>
      <c r="AK56" s="78">
        <f t="shared" si="70"/>
        <v>0</v>
      </c>
      <c r="AL56" s="79">
        <v>433800</v>
      </c>
      <c r="AM56" s="78">
        <f t="shared" si="71"/>
        <v>0.25513853257627966</v>
      </c>
      <c r="AN56" s="79">
        <v>0</v>
      </c>
      <c r="AO56" s="81">
        <f t="shared" si="72"/>
        <v>0</v>
      </c>
      <c r="AP56" s="79">
        <v>0</v>
      </c>
      <c r="AQ56" s="81">
        <f t="shared" si="73"/>
        <v>0</v>
      </c>
      <c r="AR56" s="79">
        <v>0</v>
      </c>
      <c r="AS56" s="81">
        <f t="shared" si="74"/>
        <v>0</v>
      </c>
      <c r="AT56" s="81">
        <v>0</v>
      </c>
      <c r="AU56" s="81">
        <f t="shared" si="75"/>
        <v>0</v>
      </c>
      <c r="AV56" s="81">
        <v>0</v>
      </c>
      <c r="AW56" s="81">
        <f t="shared" si="76"/>
        <v>0</v>
      </c>
      <c r="AX56" s="90">
        <v>0</v>
      </c>
      <c r="AY56" s="81">
        <f t="shared" si="77"/>
        <v>0</v>
      </c>
      <c r="AZ56" s="90">
        <v>0</v>
      </c>
      <c r="BA56" s="81">
        <f>AZ56/AZ$65*100</f>
        <v>0</v>
      </c>
      <c r="BB56" s="58" t="s">
        <v>83</v>
      </c>
      <c r="BC56" s="58"/>
      <c r="BD56" s="58"/>
      <c r="BE56" s="88"/>
      <c r="BF56" s="5"/>
      <c r="BG56" s="5"/>
      <c r="BH56" s="5"/>
      <c r="BI56" s="5"/>
      <c r="BJ56" s="5"/>
    </row>
    <row r="57" spans="1:62" ht="19.5" customHeight="1">
      <c r="A57" s="46" t="s">
        <v>17</v>
      </c>
      <c r="B57" s="76">
        <v>0</v>
      </c>
      <c r="C57" s="77">
        <f t="shared" si="53"/>
        <v>0</v>
      </c>
      <c r="D57" s="76">
        <v>300</v>
      </c>
      <c r="E57" s="77">
        <f t="shared" si="54"/>
        <v>0.01744467138992774</v>
      </c>
      <c r="F57" s="76">
        <v>0</v>
      </c>
      <c r="G57" s="77">
        <f t="shared" si="55"/>
        <v>0</v>
      </c>
      <c r="H57" s="76">
        <v>0</v>
      </c>
      <c r="I57" s="77">
        <f t="shared" si="56"/>
        <v>0</v>
      </c>
      <c r="J57" s="77">
        <v>0</v>
      </c>
      <c r="K57" s="77">
        <f t="shared" si="57"/>
        <v>0</v>
      </c>
      <c r="L57" s="37">
        <v>0</v>
      </c>
      <c r="M57" s="77">
        <f t="shared" si="58"/>
        <v>0</v>
      </c>
      <c r="N57" s="43">
        <v>0</v>
      </c>
      <c r="O57" s="77">
        <f t="shared" si="59"/>
        <v>0</v>
      </c>
      <c r="P57" s="43">
        <v>0</v>
      </c>
      <c r="Q57" s="37">
        <f t="shared" si="60"/>
        <v>0</v>
      </c>
      <c r="R57" s="43">
        <v>0</v>
      </c>
      <c r="S57" s="37">
        <f t="shared" si="61"/>
        <v>0</v>
      </c>
      <c r="T57" s="79">
        <v>0</v>
      </c>
      <c r="U57" s="78">
        <f t="shared" si="62"/>
        <v>0</v>
      </c>
      <c r="V57" s="79">
        <v>0</v>
      </c>
      <c r="W57" s="78">
        <f t="shared" si="63"/>
        <v>0</v>
      </c>
      <c r="X57" s="79">
        <v>0</v>
      </c>
      <c r="Y57" s="78">
        <f t="shared" si="64"/>
        <v>0</v>
      </c>
      <c r="Z57" s="79">
        <v>0</v>
      </c>
      <c r="AA57" s="78">
        <f t="shared" si="65"/>
        <v>0</v>
      </c>
      <c r="AB57" s="79">
        <v>0</v>
      </c>
      <c r="AC57" s="78">
        <f t="shared" si="66"/>
        <v>0</v>
      </c>
      <c r="AD57" s="79">
        <v>0</v>
      </c>
      <c r="AE57" s="78">
        <f t="shared" si="67"/>
        <v>0</v>
      </c>
      <c r="AF57" s="79">
        <f>AF99+AF100+AF101</f>
        <v>0</v>
      </c>
      <c r="AG57" s="78">
        <f t="shared" si="68"/>
        <v>0</v>
      </c>
      <c r="AH57" s="79">
        <v>0</v>
      </c>
      <c r="AI57" s="78">
        <f t="shared" si="69"/>
        <v>0</v>
      </c>
      <c r="AJ57" s="79">
        <v>0</v>
      </c>
      <c r="AK57" s="78">
        <f t="shared" si="70"/>
        <v>0</v>
      </c>
      <c r="AL57" s="79">
        <v>0</v>
      </c>
      <c r="AM57" s="78">
        <f t="shared" si="71"/>
        <v>0</v>
      </c>
      <c r="AN57" s="79">
        <v>0</v>
      </c>
      <c r="AO57" s="81">
        <f t="shared" si="72"/>
        <v>0</v>
      </c>
      <c r="AP57" s="79">
        <v>0</v>
      </c>
      <c r="AQ57" s="81">
        <f t="shared" si="73"/>
        <v>0</v>
      </c>
      <c r="AR57" s="79">
        <v>0</v>
      </c>
      <c r="AS57" s="81">
        <f t="shared" si="74"/>
        <v>0</v>
      </c>
      <c r="AT57" s="81">
        <v>0</v>
      </c>
      <c r="AU57" s="81">
        <f t="shared" si="75"/>
        <v>0</v>
      </c>
      <c r="AV57" s="81">
        <v>0</v>
      </c>
      <c r="AW57" s="81">
        <f t="shared" si="76"/>
        <v>0</v>
      </c>
      <c r="AX57" s="90">
        <v>0</v>
      </c>
      <c r="AY57" s="81">
        <f t="shared" si="77"/>
        <v>0</v>
      </c>
      <c r="AZ57" s="90">
        <f>AY57/AY$65*100</f>
        <v>0</v>
      </c>
      <c r="BA57" s="81">
        <f t="shared" si="78"/>
        <v>0</v>
      </c>
      <c r="BB57" s="58" t="s">
        <v>29</v>
      </c>
      <c r="BC57" s="58"/>
      <c r="BD57" s="58"/>
      <c r="BE57" s="88"/>
      <c r="BF57" s="5"/>
      <c r="BG57" s="5"/>
      <c r="BH57" s="5"/>
      <c r="BI57" s="5"/>
      <c r="BJ57" s="5"/>
    </row>
    <row r="58" spans="1:62" ht="19.5" customHeight="1">
      <c r="A58" s="46" t="s">
        <v>78</v>
      </c>
      <c r="B58" s="76">
        <v>5355</v>
      </c>
      <c r="C58" s="77">
        <f t="shared" si="53"/>
        <v>1.302102329924281</v>
      </c>
      <c r="D58" s="76">
        <f>500+50+99+550+505+1365+290+190+700</f>
        <v>4249</v>
      </c>
      <c r="E58" s="77">
        <f t="shared" si="54"/>
        <v>0.24707469578600988</v>
      </c>
      <c r="F58" s="76">
        <v>8945</v>
      </c>
      <c r="G58" s="77">
        <f t="shared" si="55"/>
        <v>0.16418834059855464</v>
      </c>
      <c r="H58" s="76">
        <v>34330</v>
      </c>
      <c r="I58" s="77">
        <f t="shared" si="56"/>
        <v>0.48224038459661006</v>
      </c>
      <c r="J58" s="76">
        <v>131423.3</v>
      </c>
      <c r="K58" s="77">
        <f t="shared" si="57"/>
        <v>0.7928288183855221</v>
      </c>
      <c r="L58" s="37">
        <v>176671</v>
      </c>
      <c r="M58" s="77">
        <f t="shared" si="58"/>
        <v>0.5678240265995848</v>
      </c>
      <c r="N58" s="43">
        <f>109791.7+112093.1+372616.1+661902+850788.1+188055+142776+136894.045+72639.6+98809.78+21542.54</f>
        <v>2767907.965</v>
      </c>
      <c r="O58" s="77">
        <f t="shared" si="59"/>
        <v>5.219847532090373</v>
      </c>
      <c r="P58" s="43">
        <f>43564.31+40032.625+131395.884+122468.979+45530+1835925.3995+93189.247+428832.388+419202.3586+180343.2+362485.282+127909</f>
        <v>3830878.6731000002</v>
      </c>
      <c r="Q58" s="37">
        <f t="shared" si="60"/>
        <v>8.189919222913337</v>
      </c>
      <c r="R58" s="43">
        <f>122204.045+18340+207297.691+367965+206407+466690+124851+452806+213529+47977+25115+152164</f>
        <v>2405345.736</v>
      </c>
      <c r="S58" s="37">
        <f t="shared" si="61"/>
        <v>2.335792508974498</v>
      </c>
      <c r="T58" s="79">
        <v>6118693</v>
      </c>
      <c r="U58" s="78">
        <f t="shared" si="62"/>
        <v>4.829727695493824</v>
      </c>
      <c r="V58" s="79">
        <v>6870351.001</v>
      </c>
      <c r="W58" s="78">
        <f t="shared" si="63"/>
        <v>5.5652280630681625</v>
      </c>
      <c r="X58" s="79">
        <v>2390989.5486</v>
      </c>
      <c r="Y58" s="78">
        <f t="shared" si="64"/>
        <v>2.9289673190544883</v>
      </c>
      <c r="Z58" s="79">
        <v>3356209</v>
      </c>
      <c r="AA58" s="78">
        <f t="shared" si="65"/>
        <v>3.8643481333013554</v>
      </c>
      <c r="AB58" s="79">
        <v>1848305.161</v>
      </c>
      <c r="AC58" s="78">
        <f t="shared" si="66"/>
        <v>2.7624720359394503</v>
      </c>
      <c r="AD58" s="79">
        <v>2370161.8960999995</v>
      </c>
      <c r="AE58" s="78">
        <f t="shared" si="67"/>
        <v>2.9749421271785965</v>
      </c>
      <c r="AF58" s="79">
        <v>23205100</v>
      </c>
      <c r="AG58" s="78">
        <f t="shared" si="68"/>
        <v>20.87557978682821</v>
      </c>
      <c r="AH58" s="79">
        <v>10753000</v>
      </c>
      <c r="AI58" s="78">
        <f t="shared" si="69"/>
        <v>5.290309832111747</v>
      </c>
      <c r="AJ58" s="79">
        <v>34765850</v>
      </c>
      <c r="AK58" s="78">
        <f t="shared" si="70"/>
        <v>17.54176276200578</v>
      </c>
      <c r="AL58" s="79">
        <v>16016242.04</v>
      </c>
      <c r="AM58" s="78">
        <f t="shared" si="71"/>
        <v>9.419918145394469</v>
      </c>
      <c r="AN58" s="79">
        <v>0</v>
      </c>
      <c r="AO58" s="81">
        <f t="shared" si="72"/>
        <v>0</v>
      </c>
      <c r="AP58" s="79">
        <v>0</v>
      </c>
      <c r="AQ58" s="81">
        <f t="shared" si="73"/>
        <v>0</v>
      </c>
      <c r="AR58" s="79">
        <v>0</v>
      </c>
      <c r="AS58" s="81">
        <f t="shared" si="74"/>
        <v>0</v>
      </c>
      <c r="AT58" s="81">
        <v>0</v>
      </c>
      <c r="AU58" s="81">
        <f t="shared" si="75"/>
        <v>0</v>
      </c>
      <c r="AV58" s="81">
        <v>0</v>
      </c>
      <c r="AW58" s="81">
        <f t="shared" si="76"/>
        <v>0</v>
      </c>
      <c r="AX58" s="90">
        <v>0</v>
      </c>
      <c r="AY58" s="81">
        <f t="shared" si="77"/>
        <v>0</v>
      </c>
      <c r="AZ58" s="90">
        <f>AY58/AY$65*100</f>
        <v>0</v>
      </c>
      <c r="BA58" s="81">
        <f t="shared" si="78"/>
        <v>0</v>
      </c>
      <c r="BB58" s="58" t="s">
        <v>80</v>
      </c>
      <c r="BC58" s="58"/>
      <c r="BD58" s="58"/>
      <c r="BE58" s="88"/>
      <c r="BF58" s="5"/>
      <c r="BG58" s="5"/>
      <c r="BH58" s="5"/>
      <c r="BI58" s="5"/>
      <c r="BJ58" s="5"/>
    </row>
    <row r="59" spans="1:62" ht="19.5" customHeight="1">
      <c r="A59" s="46" t="s">
        <v>18</v>
      </c>
      <c r="B59" s="76">
        <v>0</v>
      </c>
      <c r="C59" s="77">
        <v>0</v>
      </c>
      <c r="D59" s="76">
        <v>0</v>
      </c>
      <c r="E59" s="77">
        <v>0</v>
      </c>
      <c r="F59" s="76">
        <v>0</v>
      </c>
      <c r="G59" s="77">
        <v>0</v>
      </c>
      <c r="H59" s="76">
        <v>1757.2</v>
      </c>
      <c r="I59" s="77">
        <f t="shared" si="56"/>
        <v>0.02468374028002223</v>
      </c>
      <c r="J59" s="77">
        <v>0</v>
      </c>
      <c r="K59" s="77">
        <f t="shared" si="57"/>
        <v>0</v>
      </c>
      <c r="L59" s="37">
        <v>0</v>
      </c>
      <c r="M59" s="77">
        <f t="shared" si="58"/>
        <v>0</v>
      </c>
      <c r="N59" s="43">
        <v>3942.6</v>
      </c>
      <c r="O59" s="77">
        <f t="shared" si="59"/>
        <v>0.0074351355392770465</v>
      </c>
      <c r="P59" s="43">
        <f>22552.751+44767.804</f>
        <v>67320.555</v>
      </c>
      <c r="Q59" s="37">
        <f t="shared" si="60"/>
        <v>0.1439225709138772</v>
      </c>
      <c r="R59" s="43">
        <f>26285.456+45900+19175.259+15680</f>
        <v>107040.715</v>
      </c>
      <c r="S59" s="37">
        <f t="shared" si="61"/>
        <v>0.10394551457207821</v>
      </c>
      <c r="T59" s="79">
        <v>13436.7</v>
      </c>
      <c r="U59" s="78">
        <f t="shared" si="62"/>
        <v>0.010606121622059135</v>
      </c>
      <c r="V59" s="79">
        <v>0</v>
      </c>
      <c r="W59" s="78">
        <f t="shared" si="63"/>
        <v>0</v>
      </c>
      <c r="X59" s="79">
        <v>59665.726</v>
      </c>
      <c r="Y59" s="78">
        <f t="shared" si="64"/>
        <v>0.07309064216695828</v>
      </c>
      <c r="Z59" s="79">
        <v>17328.672</v>
      </c>
      <c r="AA59" s="78">
        <f t="shared" si="65"/>
        <v>0.019952279877621285</v>
      </c>
      <c r="AB59" s="79">
        <v>0</v>
      </c>
      <c r="AC59" s="78">
        <f t="shared" si="66"/>
        <v>0</v>
      </c>
      <c r="AD59" s="79">
        <v>393956.90936</v>
      </c>
      <c r="AE59" s="78">
        <f t="shared" si="67"/>
        <v>0.49448057024147524</v>
      </c>
      <c r="AF59" s="79">
        <f>AF101+AF102+AF103</f>
        <v>0</v>
      </c>
      <c r="AG59" s="78">
        <f t="shared" si="68"/>
        <v>0</v>
      </c>
      <c r="AH59" s="79">
        <v>0</v>
      </c>
      <c r="AI59" s="78">
        <f t="shared" si="69"/>
        <v>0</v>
      </c>
      <c r="AJ59" s="79">
        <v>283212.757</v>
      </c>
      <c r="AK59" s="78">
        <f t="shared" si="70"/>
        <v>0.14290031725004831</v>
      </c>
      <c r="AL59" s="79">
        <v>0</v>
      </c>
      <c r="AM59" s="78">
        <f t="shared" si="71"/>
        <v>0</v>
      </c>
      <c r="AN59" s="79">
        <v>0</v>
      </c>
      <c r="AO59" s="81">
        <f t="shared" si="72"/>
        <v>0</v>
      </c>
      <c r="AP59" s="79">
        <v>0</v>
      </c>
      <c r="AQ59" s="81">
        <f t="shared" si="73"/>
        <v>0</v>
      </c>
      <c r="AR59" s="79">
        <v>0</v>
      </c>
      <c r="AS59" s="81">
        <f t="shared" si="74"/>
        <v>0</v>
      </c>
      <c r="AT59" s="81">
        <v>0</v>
      </c>
      <c r="AU59" s="81">
        <f t="shared" si="75"/>
        <v>0</v>
      </c>
      <c r="AV59" s="81">
        <v>0</v>
      </c>
      <c r="AW59" s="81">
        <f t="shared" si="76"/>
        <v>0</v>
      </c>
      <c r="AX59" s="90">
        <v>0</v>
      </c>
      <c r="AY59" s="81">
        <f t="shared" si="77"/>
        <v>0</v>
      </c>
      <c r="AZ59" s="90">
        <f>AY59/AY$65*100</f>
        <v>0</v>
      </c>
      <c r="BA59" s="81">
        <f t="shared" si="78"/>
        <v>0</v>
      </c>
      <c r="BB59" s="58" t="s">
        <v>40</v>
      </c>
      <c r="BC59" s="58"/>
      <c r="BD59" s="58"/>
      <c r="BE59" s="88"/>
      <c r="BF59" s="5"/>
      <c r="BG59" s="5"/>
      <c r="BH59" s="5"/>
      <c r="BI59" s="5"/>
      <c r="BJ59" s="5"/>
    </row>
    <row r="60" spans="1:62" s="48" customFormat="1" ht="19.5" customHeight="1">
      <c r="A60" s="46" t="s">
        <v>79</v>
      </c>
      <c r="B60" s="80" t="s">
        <v>82</v>
      </c>
      <c r="C60" s="80" t="s">
        <v>82</v>
      </c>
      <c r="D60" s="80" t="s">
        <v>82</v>
      </c>
      <c r="E60" s="80" t="s">
        <v>82</v>
      </c>
      <c r="F60" s="80" t="s">
        <v>82</v>
      </c>
      <c r="G60" s="80" t="s">
        <v>82</v>
      </c>
      <c r="H60" s="80" t="s">
        <v>82</v>
      </c>
      <c r="I60" s="80" t="s">
        <v>82</v>
      </c>
      <c r="J60" s="80" t="s">
        <v>82</v>
      </c>
      <c r="K60" s="80" t="s">
        <v>82</v>
      </c>
      <c r="L60" s="80" t="s">
        <v>82</v>
      </c>
      <c r="M60" s="80" t="s">
        <v>82</v>
      </c>
      <c r="N60" s="80" t="s">
        <v>82</v>
      </c>
      <c r="O60" s="80" t="s">
        <v>82</v>
      </c>
      <c r="P60" s="80" t="s">
        <v>82</v>
      </c>
      <c r="Q60" s="80" t="s">
        <v>82</v>
      </c>
      <c r="R60" s="80" t="s">
        <v>82</v>
      </c>
      <c r="S60" s="80" t="s">
        <v>82</v>
      </c>
      <c r="T60" s="80" t="s">
        <v>82</v>
      </c>
      <c r="U60" s="80" t="s">
        <v>82</v>
      </c>
      <c r="V60" s="80" t="s">
        <v>82</v>
      </c>
      <c r="W60" s="80" t="s">
        <v>82</v>
      </c>
      <c r="X60" s="79">
        <v>929187.081</v>
      </c>
      <c r="Y60" s="81">
        <f t="shared" si="64"/>
        <v>1.1382561647457614</v>
      </c>
      <c r="Z60" s="79">
        <v>5900000</v>
      </c>
      <c r="AA60" s="81">
        <f t="shared" si="65"/>
        <v>6.793275980869486</v>
      </c>
      <c r="AB60" s="79">
        <v>450000</v>
      </c>
      <c r="AC60" s="81">
        <f t="shared" si="66"/>
        <v>0.6725688173159586</v>
      </c>
      <c r="AD60" s="79">
        <v>12639376.5</v>
      </c>
      <c r="AE60" s="81">
        <f t="shared" si="67"/>
        <v>15.864491650546187</v>
      </c>
      <c r="AF60" s="79">
        <v>14400000</v>
      </c>
      <c r="AG60" s="81">
        <f t="shared" si="68"/>
        <v>12.954408683019086</v>
      </c>
      <c r="AH60" s="79">
        <v>15150000</v>
      </c>
      <c r="AI60" s="81">
        <f t="shared" si="69"/>
        <v>7.453565884543195</v>
      </c>
      <c r="AJ60" s="79">
        <v>39850000</v>
      </c>
      <c r="AK60" s="81">
        <f t="shared" si="70"/>
        <v>20.107066160209815</v>
      </c>
      <c r="AL60" s="79">
        <v>38400000</v>
      </c>
      <c r="AM60" s="81">
        <f t="shared" si="71"/>
        <v>22.584877019200412</v>
      </c>
      <c r="AN60" s="79">
        <v>0</v>
      </c>
      <c r="AO60" s="81">
        <f t="shared" si="72"/>
        <v>0</v>
      </c>
      <c r="AP60" s="79">
        <v>0</v>
      </c>
      <c r="AQ60" s="81">
        <f t="shared" si="73"/>
        <v>0</v>
      </c>
      <c r="AR60" s="79">
        <v>0</v>
      </c>
      <c r="AS60" s="81">
        <f t="shared" si="74"/>
        <v>0</v>
      </c>
      <c r="AT60" s="81">
        <v>0</v>
      </c>
      <c r="AU60" s="81">
        <f t="shared" si="75"/>
        <v>0</v>
      </c>
      <c r="AV60" s="81">
        <v>0</v>
      </c>
      <c r="AW60" s="81">
        <f t="shared" si="76"/>
        <v>0</v>
      </c>
      <c r="AX60" s="90">
        <v>0</v>
      </c>
      <c r="AY60" s="81">
        <f t="shared" si="77"/>
        <v>0</v>
      </c>
      <c r="AZ60" s="90">
        <f>AY60/AY$65*100</f>
        <v>0</v>
      </c>
      <c r="BA60" s="81">
        <f t="shared" si="78"/>
        <v>0</v>
      </c>
      <c r="BB60" s="63" t="s">
        <v>81</v>
      </c>
      <c r="BC60" s="63"/>
      <c r="BD60" s="63"/>
      <c r="BE60" s="89"/>
      <c r="BF60" s="47"/>
      <c r="BG60" s="47"/>
      <c r="BH60" s="47"/>
      <c r="BI60" s="47"/>
      <c r="BJ60" s="47"/>
    </row>
    <row r="61" spans="1:62" ht="19.5" customHeight="1">
      <c r="A61" s="46" t="s">
        <v>10</v>
      </c>
      <c r="B61" s="76">
        <v>57362.4</v>
      </c>
      <c r="C61" s="77">
        <f>B61/B$65*100</f>
        <v>13.948032621857811</v>
      </c>
      <c r="D61" s="76">
        <f>112402.45+1526</f>
        <v>113928.45</v>
      </c>
      <c r="E61" s="77">
        <f>D61/D$65*100</f>
        <v>6.624814574046043</v>
      </c>
      <c r="F61" s="76">
        <v>41628.5</v>
      </c>
      <c r="G61" s="77">
        <f>F61/F$65*100</f>
        <v>0.7641044535055261</v>
      </c>
      <c r="H61" s="76">
        <v>23000</v>
      </c>
      <c r="I61" s="77">
        <f>H61/H$65*100</f>
        <v>0.3230856057594533</v>
      </c>
      <c r="J61" s="76">
        <v>11000</v>
      </c>
      <c r="K61" s="77">
        <f>J61/J$65*100</f>
        <v>0.06635898658944604</v>
      </c>
      <c r="L61" s="37">
        <v>0</v>
      </c>
      <c r="M61" s="77">
        <f>L61/L$65*100</f>
        <v>0</v>
      </c>
      <c r="N61" s="43">
        <v>0</v>
      </c>
      <c r="O61" s="77">
        <f>N61/N$65*100</f>
        <v>0</v>
      </c>
      <c r="P61" s="43">
        <v>0</v>
      </c>
      <c r="Q61" s="77">
        <f>P61/P$65*100</f>
        <v>0</v>
      </c>
      <c r="R61" s="44">
        <v>0</v>
      </c>
      <c r="S61" s="78">
        <f>R61/R$65*100</f>
        <v>0</v>
      </c>
      <c r="T61" s="79">
        <v>0</v>
      </c>
      <c r="U61" s="78">
        <f>T61/T$65*100</f>
        <v>0</v>
      </c>
      <c r="V61" s="79">
        <v>0</v>
      </c>
      <c r="W61" s="78">
        <f>V61/V$65*100</f>
        <v>0</v>
      </c>
      <c r="X61" s="79">
        <v>0</v>
      </c>
      <c r="Y61" s="78">
        <f t="shared" si="64"/>
        <v>0</v>
      </c>
      <c r="Z61" s="79">
        <v>0</v>
      </c>
      <c r="AA61" s="78">
        <f t="shared" si="65"/>
        <v>0</v>
      </c>
      <c r="AB61" s="79">
        <v>0</v>
      </c>
      <c r="AC61" s="78">
        <f t="shared" si="66"/>
        <v>0</v>
      </c>
      <c r="AD61" s="79">
        <v>0</v>
      </c>
      <c r="AE61" s="78">
        <f t="shared" si="67"/>
        <v>0</v>
      </c>
      <c r="AF61" s="79">
        <f>AF103+AF104+AF105</f>
        <v>0</v>
      </c>
      <c r="AG61" s="78">
        <f t="shared" si="68"/>
        <v>0</v>
      </c>
      <c r="AH61" s="79">
        <v>0</v>
      </c>
      <c r="AI61" s="78">
        <f t="shared" si="69"/>
        <v>0</v>
      </c>
      <c r="AJ61" s="79">
        <v>0</v>
      </c>
      <c r="AK61" s="78">
        <f t="shared" si="70"/>
        <v>0</v>
      </c>
      <c r="AL61" s="79">
        <v>0</v>
      </c>
      <c r="AM61" s="78">
        <f t="shared" si="71"/>
        <v>0</v>
      </c>
      <c r="AN61" s="79">
        <v>2162532</v>
      </c>
      <c r="AO61" s="81">
        <f t="shared" si="72"/>
        <v>0.39627916289911014</v>
      </c>
      <c r="AP61" s="79">
        <v>2394603</v>
      </c>
      <c r="AQ61" s="81">
        <f t="shared" si="73"/>
        <v>0.3654886192554151</v>
      </c>
      <c r="AR61" s="79">
        <v>1940819.076</v>
      </c>
      <c r="AS61" s="81">
        <f t="shared" si="74"/>
        <v>0.3253466982370066</v>
      </c>
      <c r="AT61" s="79">
        <v>1849.144614</v>
      </c>
      <c r="AU61" s="81">
        <f t="shared" si="75"/>
        <v>0.2573258472947116</v>
      </c>
      <c r="AV61" s="79">
        <v>5113.238</v>
      </c>
      <c r="AW61" s="81">
        <f t="shared" si="76"/>
        <v>0.6597530757635488</v>
      </c>
      <c r="AX61" s="90">
        <v>5656.35</v>
      </c>
      <c r="AY61" s="81">
        <f t="shared" si="77"/>
        <v>0.5879889650465371</v>
      </c>
      <c r="AZ61" s="90">
        <v>6171.049993</v>
      </c>
      <c r="BA61" s="81">
        <f t="shared" si="78"/>
        <v>0.23975732520170856</v>
      </c>
      <c r="BB61" s="58" t="s">
        <v>30</v>
      </c>
      <c r="BC61" s="58"/>
      <c r="BD61" s="58"/>
      <c r="BE61" s="88"/>
      <c r="BF61" s="5"/>
      <c r="BG61" s="5"/>
      <c r="BH61" s="5"/>
      <c r="BI61" s="5"/>
      <c r="BJ61" s="5"/>
    </row>
    <row r="62" spans="1:62" ht="19.5" customHeight="1">
      <c r="A62" s="46" t="s">
        <v>19</v>
      </c>
      <c r="B62" s="76">
        <v>0</v>
      </c>
      <c r="C62" s="77">
        <v>0</v>
      </c>
      <c r="D62" s="76">
        <v>0</v>
      </c>
      <c r="E62" s="77">
        <v>0</v>
      </c>
      <c r="F62" s="76">
        <v>2713.79</v>
      </c>
      <c r="G62" s="77">
        <f>F62/F$65*100</f>
        <v>0.049812484833197494</v>
      </c>
      <c r="H62" s="76">
        <v>0</v>
      </c>
      <c r="I62" s="77">
        <f>H62/H$65*100</f>
        <v>0</v>
      </c>
      <c r="J62" s="77">
        <v>0</v>
      </c>
      <c r="K62" s="77">
        <f>J62/J$65*100</f>
        <v>0</v>
      </c>
      <c r="L62" s="37">
        <v>0</v>
      </c>
      <c r="M62" s="77">
        <f>L62/L$65*100</f>
        <v>0</v>
      </c>
      <c r="N62" s="43">
        <v>0</v>
      </c>
      <c r="O62" s="77">
        <f>N62/N$65*100</f>
        <v>0</v>
      </c>
      <c r="P62" s="43">
        <v>0</v>
      </c>
      <c r="Q62" s="77">
        <f>P62/P$65*100</f>
        <v>0</v>
      </c>
      <c r="R62" s="44">
        <v>0</v>
      </c>
      <c r="S62" s="78">
        <f>R62/R$65*100</f>
        <v>0</v>
      </c>
      <c r="T62" s="79">
        <v>0</v>
      </c>
      <c r="U62" s="78">
        <f>T62/T$65*100</f>
        <v>0</v>
      </c>
      <c r="V62" s="79">
        <v>0</v>
      </c>
      <c r="W62" s="78">
        <f>V62/V$65*100</f>
        <v>0</v>
      </c>
      <c r="X62" s="79">
        <v>0</v>
      </c>
      <c r="Y62" s="78">
        <f t="shared" si="64"/>
        <v>0</v>
      </c>
      <c r="Z62" s="79">
        <v>0</v>
      </c>
      <c r="AA62" s="78">
        <f t="shared" si="65"/>
        <v>0</v>
      </c>
      <c r="AB62" s="79">
        <v>0</v>
      </c>
      <c r="AC62" s="78">
        <f t="shared" si="66"/>
        <v>0</v>
      </c>
      <c r="AD62" s="79">
        <v>0</v>
      </c>
      <c r="AE62" s="78">
        <f t="shared" si="67"/>
        <v>0</v>
      </c>
      <c r="AF62" s="79">
        <f>AF104+AF105+AF106</f>
        <v>0</v>
      </c>
      <c r="AG62" s="78">
        <f t="shared" si="68"/>
        <v>0</v>
      </c>
      <c r="AH62" s="79">
        <v>0</v>
      </c>
      <c r="AI62" s="78">
        <f t="shared" si="69"/>
        <v>0</v>
      </c>
      <c r="AJ62" s="79">
        <v>0</v>
      </c>
      <c r="AK62" s="78">
        <f t="shared" si="70"/>
        <v>0</v>
      </c>
      <c r="AL62" s="79">
        <v>0</v>
      </c>
      <c r="AM62" s="78">
        <f t="shared" si="71"/>
        <v>0</v>
      </c>
      <c r="AN62" s="79">
        <v>0</v>
      </c>
      <c r="AO62" s="81">
        <f t="shared" si="72"/>
        <v>0</v>
      </c>
      <c r="AP62" s="79">
        <v>0</v>
      </c>
      <c r="AQ62" s="81">
        <f t="shared" si="73"/>
        <v>0</v>
      </c>
      <c r="AR62" s="79">
        <v>0</v>
      </c>
      <c r="AS62" s="81">
        <f t="shared" si="74"/>
        <v>0</v>
      </c>
      <c r="AT62" s="81">
        <v>0</v>
      </c>
      <c r="AU62" s="81">
        <f t="shared" si="75"/>
        <v>0</v>
      </c>
      <c r="AV62" s="81">
        <v>0</v>
      </c>
      <c r="AW62" s="81">
        <f t="shared" si="76"/>
        <v>0</v>
      </c>
      <c r="AX62" s="90">
        <v>0</v>
      </c>
      <c r="AY62" s="81">
        <f t="shared" si="77"/>
        <v>0</v>
      </c>
      <c r="AZ62" s="90">
        <f>AY62/AY$65*100</f>
        <v>0</v>
      </c>
      <c r="BA62" s="81">
        <f t="shared" si="78"/>
        <v>0</v>
      </c>
      <c r="BB62" s="58" t="s">
        <v>31</v>
      </c>
      <c r="BC62" s="58"/>
      <c r="BD62" s="58"/>
      <c r="BE62" s="88"/>
      <c r="BF62" s="5"/>
      <c r="BG62" s="5"/>
      <c r="BH62" s="5"/>
      <c r="BI62" s="5"/>
      <c r="BJ62" s="5"/>
    </row>
    <row r="63" spans="1:62" ht="19.5" customHeight="1">
      <c r="A63" s="46" t="s">
        <v>103</v>
      </c>
      <c r="B63" s="76"/>
      <c r="C63" s="77"/>
      <c r="D63" s="76"/>
      <c r="E63" s="77"/>
      <c r="F63" s="76"/>
      <c r="G63" s="77"/>
      <c r="H63" s="76"/>
      <c r="I63" s="77"/>
      <c r="J63" s="77"/>
      <c r="K63" s="77"/>
      <c r="L63" s="37"/>
      <c r="M63" s="77"/>
      <c r="N63" s="43"/>
      <c r="O63" s="77"/>
      <c r="P63" s="43"/>
      <c r="Q63" s="77"/>
      <c r="R63" s="44"/>
      <c r="S63" s="78"/>
      <c r="T63" s="79"/>
      <c r="U63" s="78"/>
      <c r="V63" s="79"/>
      <c r="W63" s="78"/>
      <c r="X63" s="79"/>
      <c r="Y63" s="78"/>
      <c r="Z63" s="79"/>
      <c r="AA63" s="78"/>
      <c r="AB63" s="79">
        <v>0</v>
      </c>
      <c r="AC63" s="78">
        <f t="shared" si="66"/>
        <v>0</v>
      </c>
      <c r="AD63" s="79">
        <v>0</v>
      </c>
      <c r="AE63" s="78">
        <f t="shared" si="67"/>
        <v>0</v>
      </c>
      <c r="AF63" s="79">
        <v>0</v>
      </c>
      <c r="AG63" s="78">
        <f t="shared" si="68"/>
        <v>0</v>
      </c>
      <c r="AH63" s="79">
        <v>20008</v>
      </c>
      <c r="AI63" s="78">
        <f t="shared" si="69"/>
        <v>0.009843626813065363</v>
      </c>
      <c r="AJ63" s="79">
        <v>0</v>
      </c>
      <c r="AK63" s="78">
        <f t="shared" si="70"/>
        <v>0</v>
      </c>
      <c r="AL63" s="79">
        <v>0</v>
      </c>
      <c r="AM63" s="78">
        <f t="shared" si="71"/>
        <v>0</v>
      </c>
      <c r="AN63" s="79">
        <v>131095.547</v>
      </c>
      <c r="AO63" s="81">
        <f t="shared" si="72"/>
        <v>0.02402296642313776</v>
      </c>
      <c r="AP63" s="79">
        <v>114767.339</v>
      </c>
      <c r="AQ63" s="81">
        <f t="shared" si="73"/>
        <v>0.0175169563667665</v>
      </c>
      <c r="AR63" s="79">
        <v>227558.403</v>
      </c>
      <c r="AS63" s="81">
        <f t="shared" si="74"/>
        <v>0.03814645887793003</v>
      </c>
      <c r="AT63" s="79">
        <v>425.00006</v>
      </c>
      <c r="AU63" s="81">
        <f t="shared" si="75"/>
        <v>0.059142751579192195</v>
      </c>
      <c r="AV63" s="79">
        <v>282.278199</v>
      </c>
      <c r="AW63" s="81">
        <f t="shared" si="76"/>
        <v>0.03642191308349916</v>
      </c>
      <c r="AX63" s="90">
        <v>337.85</v>
      </c>
      <c r="AY63" s="81">
        <f t="shared" si="77"/>
        <v>0.035120187371886914</v>
      </c>
      <c r="AZ63" s="90">
        <v>1905.085099</v>
      </c>
      <c r="BA63" s="81">
        <f t="shared" si="78"/>
        <v>0.07401627083494479</v>
      </c>
      <c r="BB63" s="58" t="s">
        <v>111</v>
      </c>
      <c r="BC63" s="58"/>
      <c r="BD63" s="58"/>
      <c r="BE63" s="88"/>
      <c r="BF63" s="5"/>
      <c r="BG63" s="5"/>
      <c r="BH63" s="5"/>
      <c r="BI63" s="5"/>
      <c r="BJ63" s="5"/>
    </row>
    <row r="64" spans="1:62" ht="19.5" customHeight="1">
      <c r="A64" s="46"/>
      <c r="B64" s="76"/>
      <c r="C64" s="77"/>
      <c r="D64" s="76"/>
      <c r="E64" s="77"/>
      <c r="F64" s="76"/>
      <c r="G64" s="77"/>
      <c r="H64" s="76"/>
      <c r="I64" s="77"/>
      <c r="J64" s="77"/>
      <c r="K64" s="77"/>
      <c r="L64" s="37"/>
      <c r="M64" s="77"/>
      <c r="N64" s="43"/>
      <c r="O64" s="77"/>
      <c r="P64" s="43"/>
      <c r="Q64" s="77"/>
      <c r="R64" s="44"/>
      <c r="S64" s="78"/>
      <c r="T64" s="82"/>
      <c r="U64" s="78"/>
      <c r="V64" s="44"/>
      <c r="W64" s="78"/>
      <c r="X64" s="78"/>
      <c r="Y64" s="78"/>
      <c r="Z64" s="78"/>
      <c r="AA64" s="78"/>
      <c r="AB64" s="79"/>
      <c r="AC64" s="78"/>
      <c r="AD64" s="79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58"/>
      <c r="BC64" s="58"/>
      <c r="BD64" s="58"/>
      <c r="BE64" s="88"/>
      <c r="BF64" s="5"/>
      <c r="BG64" s="5"/>
      <c r="BH64" s="5"/>
      <c r="BI64" s="5"/>
      <c r="BJ64" s="5"/>
    </row>
    <row r="65" spans="1:62" ht="19.5" customHeight="1">
      <c r="A65" s="16" t="s">
        <v>11</v>
      </c>
      <c r="B65" s="28">
        <f aca="true" t="shared" si="79" ref="B65:J65">B45+B52</f>
        <v>411258</v>
      </c>
      <c r="C65" s="29">
        <f t="shared" si="79"/>
        <v>100</v>
      </c>
      <c r="D65" s="28">
        <f t="shared" si="79"/>
        <v>1719722.8500000003</v>
      </c>
      <c r="E65" s="29">
        <f t="shared" si="79"/>
        <v>100</v>
      </c>
      <c r="F65" s="28">
        <f t="shared" si="79"/>
        <v>5448011.696439999</v>
      </c>
      <c r="G65" s="29">
        <f t="shared" si="79"/>
        <v>100.00000000000001</v>
      </c>
      <c r="H65" s="28">
        <f t="shared" si="79"/>
        <v>7118856.3</v>
      </c>
      <c r="I65" s="29">
        <f t="shared" si="79"/>
        <v>100</v>
      </c>
      <c r="J65" s="28">
        <f t="shared" si="79"/>
        <v>16576503.9</v>
      </c>
      <c r="K65" s="29">
        <v>100</v>
      </c>
      <c r="L65" s="28">
        <f>L45+L52</f>
        <v>31113688.7</v>
      </c>
      <c r="M65" s="29">
        <v>100</v>
      </c>
      <c r="N65" s="42">
        <f>N45+N52</f>
        <v>53026605.6237</v>
      </c>
      <c r="O65" s="29">
        <v>100</v>
      </c>
      <c r="P65" s="42">
        <f>P45+P52</f>
        <v>46775536.7157</v>
      </c>
      <c r="Q65" s="29">
        <v>100</v>
      </c>
      <c r="R65" s="45">
        <f>R45+R52</f>
        <v>102977714.2772</v>
      </c>
      <c r="S65" s="33">
        <v>100</v>
      </c>
      <c r="T65" s="45">
        <f>T45+T52</f>
        <v>126688156.8853</v>
      </c>
      <c r="U65" s="33">
        <v>100</v>
      </c>
      <c r="V65" s="45">
        <f>V45+V52</f>
        <v>123451382.821</v>
      </c>
      <c r="W65" s="33">
        <v>100</v>
      </c>
      <c r="X65" s="45">
        <f>X45+X52</f>
        <v>81632510.30646</v>
      </c>
      <c r="Y65" s="33">
        <v>100</v>
      </c>
      <c r="Z65" s="45">
        <f>Z45+Z52</f>
        <v>86850586.02970001</v>
      </c>
      <c r="AA65" s="33">
        <v>100</v>
      </c>
      <c r="AB65" s="45">
        <f>AB45+AB52</f>
        <v>66907651.442395</v>
      </c>
      <c r="AC65" s="33">
        <v>100</v>
      </c>
      <c r="AD65" s="45">
        <f>AD45+AD52</f>
        <v>79670857.27304</v>
      </c>
      <c r="AE65" s="33">
        <v>100</v>
      </c>
      <c r="AF65" s="45">
        <f>AF45+AF52</f>
        <v>111159068.33228</v>
      </c>
      <c r="AG65" s="33">
        <v>100</v>
      </c>
      <c r="AH65" s="45">
        <f>AH52+AH45</f>
        <v>203258416.63809878</v>
      </c>
      <c r="AI65" s="33">
        <v>100</v>
      </c>
      <c r="AJ65" s="45">
        <f>AJ52+AJ45</f>
        <v>198189033.06171927</v>
      </c>
      <c r="AK65" s="33">
        <v>100</v>
      </c>
      <c r="AL65" s="45">
        <f>AL52+AL45</f>
        <v>170025278.27516812</v>
      </c>
      <c r="AM65" s="33">
        <v>100</v>
      </c>
      <c r="AN65" s="45">
        <f>AN52+AN45</f>
        <v>545709237.94713</v>
      </c>
      <c r="AO65" s="33">
        <v>100</v>
      </c>
      <c r="AP65" s="45">
        <f>AP52+AP45</f>
        <v>655178540.1357669</v>
      </c>
      <c r="AQ65" s="33">
        <v>100</v>
      </c>
      <c r="AR65" s="45">
        <f>AR52+AR45</f>
        <v>596538734.376878</v>
      </c>
      <c r="AS65" s="33">
        <v>100</v>
      </c>
      <c r="AT65" s="45">
        <f>AT52+AT45</f>
        <v>718600.417890474</v>
      </c>
      <c r="AU65" s="33">
        <v>100</v>
      </c>
      <c r="AV65" s="45">
        <f>AV52+AV45</f>
        <v>775022.9878174227</v>
      </c>
      <c r="AW65" s="33">
        <v>100</v>
      </c>
      <c r="AX65" s="45">
        <f>AX52+AX45</f>
        <v>961982.3391672532</v>
      </c>
      <c r="AY65" s="33">
        <v>100</v>
      </c>
      <c r="AZ65" s="45">
        <f>SUM(AZ45:AZ63)</f>
        <v>2573873.389606877</v>
      </c>
      <c r="BA65" s="33">
        <v>100</v>
      </c>
      <c r="BB65" s="17" t="s">
        <v>119</v>
      </c>
      <c r="BC65" s="17"/>
      <c r="BD65" s="17"/>
      <c r="BE65" s="103"/>
      <c r="BF65" s="5"/>
      <c r="BG65" s="5"/>
      <c r="BH65" s="5"/>
      <c r="BI65" s="5"/>
      <c r="BJ65" s="5"/>
    </row>
    <row r="66" spans="1:58" ht="19.5" customHeight="1">
      <c r="A66" s="65" t="s">
        <v>121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0"/>
      <c r="AP66" s="66"/>
      <c r="AQ66" s="66"/>
      <c r="AR66" s="66"/>
      <c r="AS66" s="66"/>
      <c r="AT66" s="66"/>
      <c r="AU66" s="66"/>
      <c r="AV66" s="66"/>
      <c r="BA66" s="66"/>
      <c r="BB66" s="66"/>
      <c r="BC66" s="66"/>
      <c r="BE66" s="66" t="s">
        <v>112</v>
      </c>
      <c r="BF66" s="5"/>
    </row>
    <row r="67" spans="1:58" ht="18" customHeight="1">
      <c r="A67" s="50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0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BA67" s="4"/>
      <c r="BB67" s="4"/>
      <c r="BC67" s="5"/>
      <c r="BD67" s="5"/>
      <c r="BE67" s="5"/>
      <c r="BF67" s="5"/>
    </row>
    <row r="68" spans="1:58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1"/>
      <c r="N68" s="31"/>
      <c r="O68" s="31"/>
      <c r="P68" s="31"/>
      <c r="Q68" s="31"/>
      <c r="R68" s="31"/>
      <c r="S68" s="31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2"/>
      <c r="AH68" s="52"/>
      <c r="AI68" s="52"/>
      <c r="AJ68" s="52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5"/>
      <c r="BD68" s="5"/>
      <c r="BE68" s="5"/>
      <c r="BF68" s="5"/>
    </row>
    <row r="69" spans="1:58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  <c r="BD69" s="5"/>
      <c r="BE69" s="5"/>
      <c r="BF69" s="5"/>
    </row>
    <row r="70" spans="1:58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/>
      <c r="BD70" s="5"/>
      <c r="BE70" s="5"/>
      <c r="BF70" s="5"/>
    </row>
    <row r="71" spans="1:58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5"/>
      <c r="BD71" s="5"/>
      <c r="BE71" s="5"/>
      <c r="BF71" s="5"/>
    </row>
    <row r="72" spans="1:58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5"/>
      <c r="BD72" s="5"/>
      <c r="BE72" s="5"/>
      <c r="BF72" s="5"/>
    </row>
    <row r="73" spans="1:58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 t="s">
        <v>46</v>
      </c>
      <c r="BC73" s="5"/>
      <c r="BD73" s="5"/>
      <c r="BE73" s="5"/>
      <c r="BF73" s="5"/>
    </row>
    <row r="74" spans="1:58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5"/>
      <c r="BD74" s="5"/>
      <c r="BE74" s="5"/>
      <c r="BF74" s="5"/>
    </row>
    <row r="75" spans="1:58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5"/>
      <c r="BD75" s="5"/>
      <c r="BE75" s="5"/>
      <c r="BF75" s="5"/>
    </row>
    <row r="76" spans="1:58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5"/>
      <c r="BD76" s="5"/>
      <c r="BE76" s="5"/>
      <c r="BF76" s="5"/>
    </row>
    <row r="77" spans="1:58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/>
      <c r="BD77" s="5"/>
      <c r="BE77" s="5"/>
      <c r="BF77" s="5"/>
    </row>
    <row r="78" spans="1:58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</row>
    <row r="79" spans="1:58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</row>
    <row r="80" spans="1:58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/>
      <c r="BD80" s="5"/>
      <c r="BE80" s="5"/>
      <c r="BF80" s="5"/>
    </row>
    <row r="81" spans="1:58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/>
      <c r="BD81" s="5"/>
      <c r="BE81" s="5"/>
      <c r="BF81" s="5"/>
    </row>
    <row r="82" spans="1:58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/>
      <c r="BD82" s="5"/>
      <c r="BE82" s="5"/>
      <c r="BF82" s="5"/>
    </row>
    <row r="83" spans="1:58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/>
      <c r="BD83" s="5"/>
      <c r="BE83" s="5"/>
      <c r="BF83" s="5"/>
    </row>
    <row r="84" spans="1:5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/>
      <c r="BD84" s="5"/>
      <c r="BE84" s="5"/>
      <c r="BF84" s="5"/>
    </row>
    <row r="85" spans="1:58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5"/>
      <c r="BD85" s="5"/>
      <c r="BE85" s="5"/>
      <c r="BF85" s="5"/>
    </row>
    <row r="86" spans="1:5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R4:S4"/>
    <mergeCell ref="T4:U4"/>
    <mergeCell ref="AB4:AC4"/>
    <mergeCell ref="V4:W4"/>
    <mergeCell ref="X4:Y4"/>
    <mergeCell ref="Z4:AA4"/>
    <mergeCell ref="AJ4:AK4"/>
    <mergeCell ref="AP4:AQ4"/>
    <mergeCell ref="AT4:AU4"/>
    <mergeCell ref="AZ4:BA4"/>
    <mergeCell ref="AF4:AG4"/>
    <mergeCell ref="AD4:AE4"/>
    <mergeCell ref="AH4:AI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2020-02-20T13:41:15Z</cp:lastPrinted>
  <dcterms:created xsi:type="dcterms:W3CDTF">1998-02-19T15:21:19Z</dcterms:created>
  <dcterms:modified xsi:type="dcterms:W3CDTF">2021-04-06T11:07:21Z</dcterms:modified>
  <cp:category/>
  <cp:version/>
  <cp:contentType/>
  <cp:contentStatus/>
</cp:coreProperties>
</file>